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805" yWindow="915" windowWidth="25380" windowHeight="10785" tabRatio="708" firstSheet="3" activeTab="3"/>
  </bookViews>
  <sheets>
    <sheet name="TMP" sheetId="2" state="hidden" r:id="rId1"/>
    <sheet name="TMPki" sheetId="12" state="hidden" r:id="rId2"/>
    <sheet name="TMPki2" sheetId="11" state="hidden" r:id="rId3"/>
    <sheet name="元データ表（DATA1）" sheetId="31" r:id="rId4"/>
    <sheet name="元データ表(DATA2）" sheetId="32" r:id="rId5"/>
    <sheet name="元データ表（DATA3）" sheetId="33" r:id="rId6"/>
    <sheet name="元データ表(実勢価格)" sheetId="52" r:id="rId7"/>
    <sheet name="元データ表（積立金・補填金の差額）" sheetId="54" r:id="rId8"/>
    <sheet name="TMP2" sheetId="6" state="hidden" r:id="rId9"/>
    <sheet name="DATA-TMP" sheetId="4" state="hidden" r:id="rId10"/>
  </sheets>
  <externalReferences>
    <externalReference r:id="rId11"/>
  </externalReferences>
  <definedNames>
    <definedName name="_xlnm._FilterDatabase" localSheetId="9" hidden="1">'DATA-TMP'!$A$4:$R$82</definedName>
    <definedName name="_xlnm.Print_Area" localSheetId="3">'元データ表（DATA1）'!$B$2:$T$215</definedName>
    <definedName name="_xlnm.Print_Area" localSheetId="4">'元データ表(DATA2）'!$B$2:$M$341</definedName>
    <definedName name="_xlnm.Print_Area" localSheetId="6">'元データ表(実勢価格)'!$B$2:$J$277</definedName>
    <definedName name="_xlnm.Print_Area" localSheetId="7">'元データ表（積立金・補填金の差額）'!$B$2:$R$275</definedName>
    <definedName name="印刷領域">'[1]１（３）後継者確保データ'!$B$16:$E$38</definedName>
  </definedNames>
  <calcPr calcId="144525"/>
</workbook>
</file>

<file path=xl/calcChain.xml><?xml version="1.0" encoding="utf-8"?>
<calcChain xmlns="http://schemas.openxmlformats.org/spreadsheetml/2006/main">
  <c r="Q261" i="54" l="1"/>
  <c r="L261" i="54"/>
  <c r="K261" i="54"/>
  <c r="J261" i="54"/>
  <c r="P261" i="54" s="1"/>
  <c r="R261" i="54" s="1"/>
  <c r="Q260" i="54"/>
  <c r="P260" i="54"/>
  <c r="R260" i="54" s="1"/>
  <c r="L260" i="54"/>
  <c r="K260" i="54"/>
  <c r="J260" i="54"/>
  <c r="Q259" i="54"/>
  <c r="L259" i="54"/>
  <c r="K259" i="54"/>
  <c r="J259" i="54"/>
  <c r="P259" i="54" s="1"/>
  <c r="R259" i="54" s="1"/>
  <c r="Q258" i="54"/>
  <c r="P258" i="54"/>
  <c r="R258" i="54" s="1"/>
  <c r="L258" i="54"/>
  <c r="K258" i="54"/>
  <c r="J258" i="54"/>
  <c r="Q257" i="54"/>
  <c r="L257" i="54"/>
  <c r="K257" i="54"/>
  <c r="J257" i="54"/>
  <c r="P257" i="54" s="1"/>
  <c r="R257" i="54" s="1"/>
  <c r="Q256" i="54"/>
  <c r="P256" i="54"/>
  <c r="R256" i="54" s="1"/>
  <c r="L256" i="54"/>
  <c r="K256" i="54"/>
  <c r="J256" i="54"/>
  <c r="Q255" i="54"/>
  <c r="L255" i="54"/>
  <c r="K255" i="54"/>
  <c r="J255" i="54"/>
  <c r="P255" i="54" s="1"/>
  <c r="R255" i="54" s="1"/>
  <c r="Q254" i="54"/>
  <c r="P254" i="54"/>
  <c r="R254" i="54" s="1"/>
  <c r="L254" i="54"/>
  <c r="K254" i="54"/>
  <c r="J254" i="54"/>
  <c r="Q253" i="54"/>
  <c r="L253" i="54"/>
  <c r="K253" i="54"/>
  <c r="J253" i="54"/>
  <c r="P253" i="54" s="1"/>
  <c r="R253" i="54" s="1"/>
  <c r="Q252" i="54"/>
  <c r="P252" i="54"/>
  <c r="R252" i="54" s="1"/>
  <c r="L252" i="54"/>
  <c r="K252" i="54"/>
  <c r="J252" i="54"/>
  <c r="Q251" i="54"/>
  <c r="L251" i="54"/>
  <c r="K251" i="54"/>
  <c r="J251" i="54"/>
  <c r="Q250" i="54"/>
  <c r="L250" i="54"/>
  <c r="K250" i="54"/>
  <c r="J250" i="54"/>
  <c r="P250" i="54" s="1"/>
  <c r="R250" i="54" s="1"/>
  <c r="H260" i="52"/>
  <c r="I260" i="52" s="1"/>
  <c r="G259" i="52"/>
  <c r="H258" i="52"/>
  <c r="I258" i="52" s="1"/>
  <c r="H257" i="52"/>
  <c r="I257" i="52" s="1"/>
  <c r="H256" i="52"/>
  <c r="I256" i="52" s="1"/>
  <c r="G255" i="52"/>
  <c r="H254" i="52"/>
  <c r="I254" i="52" s="1"/>
  <c r="G253" i="52"/>
  <c r="H252" i="52"/>
  <c r="I252" i="52" s="1"/>
  <c r="G251" i="52"/>
  <c r="G250" i="52"/>
  <c r="H250" i="52"/>
  <c r="I250" i="52" s="1"/>
  <c r="H249" i="52"/>
  <c r="I249" i="52" s="1"/>
  <c r="V326" i="33"/>
  <c r="R337" i="33"/>
  <c r="S337" i="33" s="1"/>
  <c r="O337" i="33"/>
  <c r="N337" i="33"/>
  <c r="I337" i="33"/>
  <c r="R336" i="33"/>
  <c r="S336" i="33" s="1"/>
  <c r="O336" i="33"/>
  <c r="N336" i="33"/>
  <c r="I336" i="33"/>
  <c r="S335" i="33"/>
  <c r="R335" i="33"/>
  <c r="N335" i="33"/>
  <c r="O335" i="33" s="1"/>
  <c r="I335" i="33"/>
  <c r="S334" i="33"/>
  <c r="R334" i="33"/>
  <c r="N334" i="33"/>
  <c r="O334" i="33" s="1"/>
  <c r="I334" i="33"/>
  <c r="R333" i="33"/>
  <c r="S333" i="33" s="1"/>
  <c r="O333" i="33"/>
  <c r="N333" i="33"/>
  <c r="I333" i="33"/>
  <c r="R332" i="33"/>
  <c r="S332" i="33" s="1"/>
  <c r="O332" i="33"/>
  <c r="N332" i="33"/>
  <c r="I332" i="33"/>
  <c r="S331" i="33"/>
  <c r="R331" i="33"/>
  <c r="O331" i="33"/>
  <c r="N331" i="33"/>
  <c r="I331" i="33"/>
  <c r="S330" i="33"/>
  <c r="R330" i="33"/>
  <c r="N330" i="33"/>
  <c r="O330" i="33" s="1"/>
  <c r="I330" i="33"/>
  <c r="R329" i="33"/>
  <c r="S329" i="33" s="1"/>
  <c r="O329" i="33"/>
  <c r="N329" i="33"/>
  <c r="I329" i="33"/>
  <c r="R328" i="33"/>
  <c r="S328" i="33" s="1"/>
  <c r="O328" i="33"/>
  <c r="N328" i="33"/>
  <c r="I328" i="33"/>
  <c r="R327" i="33"/>
  <c r="S327" i="33" s="1"/>
  <c r="O327" i="33"/>
  <c r="N327" i="33"/>
  <c r="I327" i="33"/>
  <c r="S326" i="33"/>
  <c r="R326" i="33"/>
  <c r="N326" i="33"/>
  <c r="O326" i="33" s="1"/>
  <c r="I326" i="33"/>
  <c r="I337" i="32"/>
  <c r="J337" i="32" s="1"/>
  <c r="H337" i="32"/>
  <c r="E337" i="32"/>
  <c r="F337" i="32" s="1"/>
  <c r="I336" i="32"/>
  <c r="J336" i="32" s="1"/>
  <c r="H336" i="32"/>
  <c r="E336" i="32"/>
  <c r="F336" i="32" s="1"/>
  <c r="I335" i="32"/>
  <c r="J335" i="32" s="1"/>
  <c r="H335" i="32"/>
  <c r="E335" i="32"/>
  <c r="F335" i="32" s="1"/>
  <c r="K335" i="32" s="1"/>
  <c r="I334" i="32"/>
  <c r="J334" i="32" s="1"/>
  <c r="H334" i="32"/>
  <c r="E334" i="32"/>
  <c r="F334" i="32" s="1"/>
  <c r="I333" i="32"/>
  <c r="J333" i="32" s="1"/>
  <c r="H333" i="32"/>
  <c r="E333" i="32"/>
  <c r="F333" i="32" s="1"/>
  <c r="I332" i="32"/>
  <c r="J332" i="32" s="1"/>
  <c r="H332" i="32"/>
  <c r="E332" i="32"/>
  <c r="F332" i="32" s="1"/>
  <c r="I331" i="32"/>
  <c r="J331" i="32" s="1"/>
  <c r="H331" i="32"/>
  <c r="E331" i="32"/>
  <c r="F331" i="32" s="1"/>
  <c r="K331" i="32" s="1"/>
  <c r="I330" i="32"/>
  <c r="J330" i="32" s="1"/>
  <c r="H330" i="32"/>
  <c r="E330" i="32"/>
  <c r="F330" i="32" s="1"/>
  <c r="I329" i="32"/>
  <c r="J329" i="32" s="1"/>
  <c r="H329" i="32"/>
  <c r="E329" i="32"/>
  <c r="F329" i="32" s="1"/>
  <c r="I328" i="32"/>
  <c r="J328" i="32" s="1"/>
  <c r="H328" i="32"/>
  <c r="E328" i="32"/>
  <c r="F328" i="32" s="1"/>
  <c r="K328" i="32" s="1"/>
  <c r="H327" i="32"/>
  <c r="I327" i="32" s="1"/>
  <c r="J327" i="32" s="1"/>
  <c r="E327" i="32"/>
  <c r="F327" i="32" s="1"/>
  <c r="H326" i="32"/>
  <c r="I326" i="32" s="1"/>
  <c r="J326" i="32" s="1"/>
  <c r="E326" i="32"/>
  <c r="F326" i="32" s="1"/>
  <c r="N196" i="31"/>
  <c r="K197" i="31"/>
  <c r="K198" i="31"/>
  <c r="K199" i="31"/>
  <c r="K200" i="31"/>
  <c r="K201" i="31"/>
  <c r="K202" i="31"/>
  <c r="K203" i="31"/>
  <c r="K204" i="31"/>
  <c r="K205" i="31"/>
  <c r="K206" i="31"/>
  <c r="K207" i="31"/>
  <c r="K196" i="31"/>
  <c r="N207" i="31"/>
  <c r="N206" i="31"/>
  <c r="N205" i="31"/>
  <c r="N204" i="31"/>
  <c r="N203" i="31"/>
  <c r="N202" i="31"/>
  <c r="N201" i="31"/>
  <c r="N200" i="31"/>
  <c r="N199" i="31"/>
  <c r="N198" i="31"/>
  <c r="N197" i="31"/>
  <c r="H255" i="52" l="1"/>
  <c r="I255" i="52" s="1"/>
  <c r="G258" i="52"/>
  <c r="K327" i="32"/>
  <c r="P251" i="54"/>
  <c r="R251" i="54" s="1"/>
  <c r="H259" i="52"/>
  <c r="I259" i="52" s="1"/>
  <c r="H251" i="52"/>
  <c r="I251" i="52" s="1"/>
  <c r="G254" i="52"/>
  <c r="G249" i="52"/>
  <c r="G257" i="52"/>
  <c r="G252" i="52"/>
  <c r="H253" i="52"/>
  <c r="I253" i="52" s="1"/>
  <c r="G256" i="52"/>
  <c r="G260" i="52"/>
  <c r="J337" i="33"/>
  <c r="K337" i="33" s="1"/>
  <c r="U337" i="33" s="1"/>
  <c r="V337" i="33" s="1"/>
  <c r="J330" i="33"/>
  <c r="K330" i="33" s="1"/>
  <c r="U330" i="33" s="1"/>
  <c r="V330" i="33" s="1"/>
  <c r="M327" i="32"/>
  <c r="K326" i="32"/>
  <c r="K330" i="32"/>
  <c r="K334" i="32"/>
  <c r="M331" i="32"/>
  <c r="K329" i="32"/>
  <c r="K333" i="32"/>
  <c r="K337" i="32"/>
  <c r="M335" i="32"/>
  <c r="M328" i="32"/>
  <c r="K332" i="32"/>
  <c r="K336" i="32"/>
  <c r="J244" i="54"/>
  <c r="K244" i="54"/>
  <c r="L244" i="54"/>
  <c r="P244" i="54"/>
  <c r="R244" i="54"/>
  <c r="F243" i="52"/>
  <c r="G243" i="52" s="1"/>
  <c r="J245" i="54"/>
  <c r="K245" i="54"/>
  <c r="L245" i="54"/>
  <c r="P245" i="54"/>
  <c r="R245" i="54"/>
  <c r="F244" i="52"/>
  <c r="G244" i="52" s="1"/>
  <c r="J246" i="54"/>
  <c r="K246" i="54"/>
  <c r="L246" i="54"/>
  <c r="P246" i="54"/>
  <c r="R246" i="54"/>
  <c r="F245" i="52"/>
  <c r="H245" i="52" s="1"/>
  <c r="I245" i="52" s="1"/>
  <c r="Q249" i="54"/>
  <c r="L249" i="54"/>
  <c r="K249" i="54"/>
  <c r="J249" i="54"/>
  <c r="P249" i="54"/>
  <c r="R249" i="54" s="1"/>
  <c r="F248" i="52" s="1"/>
  <c r="Q248" i="54"/>
  <c r="L248" i="54"/>
  <c r="K248" i="54"/>
  <c r="P248" i="54" s="1"/>
  <c r="R248" i="54" s="1"/>
  <c r="F247" i="52" s="1"/>
  <c r="J248" i="54"/>
  <c r="Q247" i="54"/>
  <c r="L247" i="54"/>
  <c r="K247" i="54"/>
  <c r="P247" i="54" s="1"/>
  <c r="R247" i="54" s="1"/>
  <c r="F246" i="52" s="1"/>
  <c r="J247" i="54"/>
  <c r="Q246" i="54"/>
  <c r="Q245" i="54"/>
  <c r="Q244" i="54"/>
  <c r="Q243" i="54"/>
  <c r="L243" i="54"/>
  <c r="K243" i="54"/>
  <c r="J243" i="54"/>
  <c r="Q242" i="54"/>
  <c r="L242" i="54"/>
  <c r="K242" i="54"/>
  <c r="J242" i="54"/>
  <c r="Q241" i="54"/>
  <c r="L241" i="54"/>
  <c r="K241" i="54"/>
  <c r="J241" i="54"/>
  <c r="Q240" i="54"/>
  <c r="L240" i="54"/>
  <c r="K240" i="54"/>
  <c r="J240" i="54"/>
  <c r="Q239" i="54"/>
  <c r="L239" i="54"/>
  <c r="K239" i="54"/>
  <c r="J239" i="54"/>
  <c r="Q238" i="54"/>
  <c r="L238" i="54"/>
  <c r="K238" i="54"/>
  <c r="J238" i="54"/>
  <c r="H243" i="52"/>
  <c r="I243" i="52" s="1"/>
  <c r="R325" i="33"/>
  <c r="S325" i="33" s="1"/>
  <c r="O325" i="33"/>
  <c r="N325" i="33"/>
  <c r="I325" i="33"/>
  <c r="J336" i="33" s="1"/>
  <c r="K336" i="33" s="1"/>
  <c r="U336" i="33" s="1"/>
  <c r="V336" i="33" s="1"/>
  <c r="R324" i="33"/>
  <c r="S324" i="33" s="1"/>
  <c r="N324" i="33"/>
  <c r="O324" i="33"/>
  <c r="I324" i="33"/>
  <c r="J335" i="33" s="1"/>
  <c r="K335" i="33" s="1"/>
  <c r="U335" i="33" s="1"/>
  <c r="V335" i="33" s="1"/>
  <c r="R323" i="33"/>
  <c r="S323" i="33" s="1"/>
  <c r="O323" i="33"/>
  <c r="N323" i="33"/>
  <c r="I323" i="33"/>
  <c r="J334" i="33" s="1"/>
  <c r="K334" i="33" s="1"/>
  <c r="U334" i="33" s="1"/>
  <c r="V334" i="33" s="1"/>
  <c r="R322" i="33"/>
  <c r="S322" i="33" s="1"/>
  <c r="N322" i="33"/>
  <c r="O322" i="33"/>
  <c r="I322" i="33"/>
  <c r="J333" i="33" s="1"/>
  <c r="K333" i="33" s="1"/>
  <c r="U333" i="33" s="1"/>
  <c r="V333" i="33" s="1"/>
  <c r="R321" i="33"/>
  <c r="S321" i="33" s="1"/>
  <c r="O321" i="33"/>
  <c r="N321" i="33"/>
  <c r="I321" i="33"/>
  <c r="J332" i="33" s="1"/>
  <c r="K332" i="33" s="1"/>
  <c r="U332" i="33" s="1"/>
  <c r="V332" i="33" s="1"/>
  <c r="R320" i="33"/>
  <c r="S320" i="33" s="1"/>
  <c r="N320" i="33"/>
  <c r="O320" i="33"/>
  <c r="I320" i="33"/>
  <c r="J331" i="33" s="1"/>
  <c r="K331" i="33" s="1"/>
  <c r="U331" i="33" s="1"/>
  <c r="V331" i="33" s="1"/>
  <c r="R319" i="33"/>
  <c r="S319" i="33" s="1"/>
  <c r="O319" i="33"/>
  <c r="N319" i="33"/>
  <c r="I319" i="33"/>
  <c r="R318" i="33"/>
  <c r="S318" i="33" s="1"/>
  <c r="N318" i="33"/>
  <c r="O318" i="33"/>
  <c r="I318" i="33"/>
  <c r="J329" i="33" s="1"/>
  <c r="K329" i="33" s="1"/>
  <c r="U329" i="33" s="1"/>
  <c r="V329" i="33" s="1"/>
  <c r="R317" i="33"/>
  <c r="S317" i="33"/>
  <c r="O317" i="33"/>
  <c r="N317" i="33"/>
  <c r="I317" i="33"/>
  <c r="R316" i="33"/>
  <c r="S316" i="33" s="1"/>
  <c r="N316" i="33"/>
  <c r="O316" i="33"/>
  <c r="I316" i="33"/>
  <c r="R315" i="33"/>
  <c r="S315" i="33" s="1"/>
  <c r="O315" i="33"/>
  <c r="N315" i="33"/>
  <c r="I315" i="33"/>
  <c r="R314" i="33"/>
  <c r="S314" i="33"/>
  <c r="N314" i="33"/>
  <c r="O314" i="33"/>
  <c r="I314" i="33"/>
  <c r="J322" i="33" s="1"/>
  <c r="K322" i="33" s="1"/>
  <c r="H325" i="32"/>
  <c r="I325" i="32" s="1"/>
  <c r="J325" i="32" s="1"/>
  <c r="E325" i="32"/>
  <c r="F325" i="32" s="1"/>
  <c r="H324" i="32"/>
  <c r="I324" i="32" s="1"/>
  <c r="J324" i="32" s="1"/>
  <c r="E324" i="32"/>
  <c r="F324" i="32" s="1"/>
  <c r="H323" i="32"/>
  <c r="I323" i="32" s="1"/>
  <c r="J323" i="32" s="1"/>
  <c r="E323" i="32"/>
  <c r="F323" i="32" s="1"/>
  <c r="H322" i="32"/>
  <c r="I322" i="32" s="1"/>
  <c r="J322" i="32" s="1"/>
  <c r="E322" i="32"/>
  <c r="F322" i="32" s="1"/>
  <c r="H321" i="32"/>
  <c r="I321" i="32" s="1"/>
  <c r="J321" i="32" s="1"/>
  <c r="E321" i="32"/>
  <c r="F321" i="32" s="1"/>
  <c r="H320" i="32"/>
  <c r="I320" i="32" s="1"/>
  <c r="J320" i="32" s="1"/>
  <c r="E320" i="32"/>
  <c r="F320" i="32" s="1"/>
  <c r="H319" i="32"/>
  <c r="I319" i="32" s="1"/>
  <c r="J319" i="32" s="1"/>
  <c r="E319" i="32"/>
  <c r="F319" i="32" s="1"/>
  <c r="H318" i="32"/>
  <c r="I318" i="32" s="1"/>
  <c r="J318" i="32" s="1"/>
  <c r="E318" i="32"/>
  <c r="F318" i="32" s="1"/>
  <c r="H317" i="32"/>
  <c r="I317" i="32" s="1"/>
  <c r="J317" i="32" s="1"/>
  <c r="E317" i="32"/>
  <c r="F317" i="32" s="1"/>
  <c r="H316" i="32"/>
  <c r="I316" i="32" s="1"/>
  <c r="J316" i="32" s="1"/>
  <c r="E316" i="32"/>
  <c r="F316" i="32" s="1"/>
  <c r="H315" i="32"/>
  <c r="I315" i="32" s="1"/>
  <c r="J315" i="32" s="1"/>
  <c r="E315" i="32"/>
  <c r="F315" i="32" s="1"/>
  <c r="H314" i="32"/>
  <c r="I314" i="32" s="1"/>
  <c r="J314" i="32" s="1"/>
  <c r="E314" i="32"/>
  <c r="F314" i="32" s="1"/>
  <c r="N195" i="31"/>
  <c r="K195" i="31"/>
  <c r="N194" i="31"/>
  <c r="K194" i="31"/>
  <c r="N193" i="31"/>
  <c r="K193" i="31"/>
  <c r="N192" i="31"/>
  <c r="K192" i="31"/>
  <c r="N191" i="31"/>
  <c r="K191" i="31"/>
  <c r="N190" i="31"/>
  <c r="K190" i="31"/>
  <c r="N189" i="31"/>
  <c r="K189" i="31"/>
  <c r="N188" i="31"/>
  <c r="K188" i="31"/>
  <c r="N187" i="31"/>
  <c r="K187" i="31"/>
  <c r="N186" i="31"/>
  <c r="K186" i="31"/>
  <c r="N185" i="31"/>
  <c r="K185" i="31"/>
  <c r="N184" i="31"/>
  <c r="K184" i="31"/>
  <c r="P240" i="54"/>
  <c r="R240" i="54"/>
  <c r="F239" i="52"/>
  <c r="H239" i="52" s="1"/>
  <c r="I239" i="52" s="1"/>
  <c r="P239" i="54"/>
  <c r="R239" i="54"/>
  <c r="F238" i="52"/>
  <c r="H238" i="52" s="1"/>
  <c r="I238" i="52" s="1"/>
  <c r="P241" i="54"/>
  <c r="R241" i="54"/>
  <c r="F240" i="52"/>
  <c r="H240" i="52"/>
  <c r="I240" i="52" s="1"/>
  <c r="P243" i="54"/>
  <c r="R243" i="54"/>
  <c r="F242" i="52"/>
  <c r="H242" i="52" s="1"/>
  <c r="I242" i="52" s="1"/>
  <c r="P242" i="54"/>
  <c r="R242" i="54"/>
  <c r="F241" i="52"/>
  <c r="G241" i="52" s="1"/>
  <c r="P238" i="54"/>
  <c r="R238" i="54"/>
  <c r="F237" i="52"/>
  <c r="H237" i="52" s="1"/>
  <c r="I237" i="52" s="1"/>
  <c r="H244" i="52"/>
  <c r="I244" i="52" s="1"/>
  <c r="K160" i="31"/>
  <c r="H241" i="52"/>
  <c r="I241" i="52" s="1"/>
  <c r="G242" i="52"/>
  <c r="G240" i="52"/>
  <c r="N179" i="31"/>
  <c r="N180" i="31"/>
  <c r="N181" i="31"/>
  <c r="N182" i="31"/>
  <c r="N183" i="31"/>
  <c r="N158" i="31"/>
  <c r="N159" i="31"/>
  <c r="N160" i="31"/>
  <c r="N161" i="31"/>
  <c r="N162" i="31"/>
  <c r="N163" i="31"/>
  <c r="N164" i="31"/>
  <c r="N165" i="31"/>
  <c r="N166" i="31"/>
  <c r="N167" i="31"/>
  <c r="N168" i="31"/>
  <c r="N169" i="31"/>
  <c r="N170" i="31"/>
  <c r="N171" i="31"/>
  <c r="N172" i="31"/>
  <c r="N173" i="31"/>
  <c r="N174" i="31"/>
  <c r="N175" i="31"/>
  <c r="N176" i="31"/>
  <c r="N177" i="31"/>
  <c r="N178" i="31"/>
  <c r="N137" i="31"/>
  <c r="N138" i="31"/>
  <c r="N139" i="31"/>
  <c r="N140" i="31"/>
  <c r="N141" i="31"/>
  <c r="N142" i="31"/>
  <c r="N143" i="31"/>
  <c r="N144" i="31"/>
  <c r="N145" i="31"/>
  <c r="N146" i="31"/>
  <c r="N147" i="31"/>
  <c r="N148" i="31"/>
  <c r="N149" i="31"/>
  <c r="N150" i="31"/>
  <c r="N151" i="31"/>
  <c r="N152" i="31"/>
  <c r="N153" i="31"/>
  <c r="N154" i="31"/>
  <c r="N155" i="31"/>
  <c r="N156" i="31"/>
  <c r="N157" i="31"/>
  <c r="N136" i="31"/>
  <c r="K137" i="31"/>
  <c r="K138" i="31"/>
  <c r="K139" i="31"/>
  <c r="K140" i="31"/>
  <c r="K141" i="31"/>
  <c r="K142" i="31"/>
  <c r="K143" i="31"/>
  <c r="K144" i="31"/>
  <c r="K145" i="31"/>
  <c r="K146" i="31"/>
  <c r="K147" i="31"/>
  <c r="K148" i="31"/>
  <c r="K149" i="31"/>
  <c r="K150" i="31"/>
  <c r="K151" i="31"/>
  <c r="K152" i="31"/>
  <c r="K153" i="31"/>
  <c r="K154" i="31"/>
  <c r="K155" i="31"/>
  <c r="K156" i="31"/>
  <c r="K157" i="31"/>
  <c r="K158" i="31"/>
  <c r="K159" i="31"/>
  <c r="K161" i="31"/>
  <c r="K162" i="31"/>
  <c r="K163" i="31"/>
  <c r="K164" i="31"/>
  <c r="K165" i="31"/>
  <c r="K166" i="31"/>
  <c r="K167" i="31"/>
  <c r="K168" i="31"/>
  <c r="K169" i="31"/>
  <c r="K170" i="31"/>
  <c r="K171" i="31"/>
  <c r="K172" i="31"/>
  <c r="K173" i="31"/>
  <c r="K174" i="31"/>
  <c r="K175" i="31"/>
  <c r="K176" i="31"/>
  <c r="K177" i="31"/>
  <c r="K178" i="31"/>
  <c r="K179" i="31"/>
  <c r="K180" i="31"/>
  <c r="K181" i="31"/>
  <c r="K182" i="31"/>
  <c r="K183" i="31"/>
  <c r="K136" i="31"/>
  <c r="F214" i="52"/>
  <c r="H214" i="52"/>
  <c r="I214" i="52" s="1"/>
  <c r="F215" i="52"/>
  <c r="F216" i="52"/>
  <c r="F217" i="52"/>
  <c r="H217" i="52" s="1"/>
  <c r="I217" i="52" s="1"/>
  <c r="F218" i="52"/>
  <c r="G218" i="52" s="1"/>
  <c r="F219" i="52"/>
  <c r="F220" i="52"/>
  <c r="G220" i="52" s="1"/>
  <c r="F221" i="52"/>
  <c r="F222" i="52"/>
  <c r="F223" i="52"/>
  <c r="F224" i="52"/>
  <c r="H224" i="52" s="1"/>
  <c r="I224" i="52" s="1"/>
  <c r="F225" i="52"/>
  <c r="H225" i="52" s="1"/>
  <c r="I225" i="52" s="1"/>
  <c r="F226" i="52"/>
  <c r="H226" i="52" s="1"/>
  <c r="I226" i="52" s="1"/>
  <c r="G226" i="52"/>
  <c r="F227" i="52"/>
  <c r="H227" i="52" s="1"/>
  <c r="I227" i="52" s="1"/>
  <c r="J229" i="54"/>
  <c r="K229" i="54"/>
  <c r="L229" i="54"/>
  <c r="P229" i="54"/>
  <c r="R229" i="54"/>
  <c r="F228" i="52"/>
  <c r="H228" i="52" s="1"/>
  <c r="I228" i="52" s="1"/>
  <c r="J230" i="54"/>
  <c r="K230" i="54"/>
  <c r="L230" i="54"/>
  <c r="P230" i="54"/>
  <c r="R230" i="54"/>
  <c r="F229" i="52"/>
  <c r="H229" i="52" s="1"/>
  <c r="I229" i="52" s="1"/>
  <c r="J231" i="54"/>
  <c r="K231" i="54"/>
  <c r="L231" i="54"/>
  <c r="P231" i="54"/>
  <c r="R231" i="54"/>
  <c r="F230" i="52"/>
  <c r="G230" i="52" s="1"/>
  <c r="J232" i="54"/>
  <c r="K232" i="54"/>
  <c r="L232" i="54"/>
  <c r="P232" i="54"/>
  <c r="R232" i="54"/>
  <c r="F231" i="52"/>
  <c r="H302" i="32"/>
  <c r="I302" i="32"/>
  <c r="J302" i="32" s="1"/>
  <c r="H303" i="32"/>
  <c r="I303" i="32"/>
  <c r="J303" i="32"/>
  <c r="H304" i="32"/>
  <c r="H305" i="32"/>
  <c r="I305" i="32"/>
  <c r="J305" i="32"/>
  <c r="H306" i="32"/>
  <c r="I306" i="32" s="1"/>
  <c r="J306" i="32" s="1"/>
  <c r="H307" i="32"/>
  <c r="I307" i="32" s="1"/>
  <c r="J307" i="32" s="1"/>
  <c r="H308" i="32"/>
  <c r="H309" i="32"/>
  <c r="I309" i="32" s="1"/>
  <c r="J309" i="32" s="1"/>
  <c r="H310" i="32"/>
  <c r="I310" i="32"/>
  <c r="J310" i="32" s="1"/>
  <c r="H311" i="32"/>
  <c r="I311" i="32"/>
  <c r="J311" i="32"/>
  <c r="H312" i="32"/>
  <c r="H313" i="32"/>
  <c r="I313" i="32"/>
  <c r="J313" i="32"/>
  <c r="Q237" i="54"/>
  <c r="L237" i="54"/>
  <c r="K237" i="54"/>
  <c r="J237" i="54"/>
  <c r="P237" i="54"/>
  <c r="R237" i="54"/>
  <c r="F236" i="52"/>
  <c r="Q236" i="54"/>
  <c r="J236" i="54"/>
  <c r="P236" i="54"/>
  <c r="R236" i="54"/>
  <c r="F235" i="52"/>
  <c r="K236" i="54"/>
  <c r="L236" i="54"/>
  <c r="Q235" i="54"/>
  <c r="L235" i="54"/>
  <c r="K235" i="54"/>
  <c r="J235" i="54"/>
  <c r="P235" i="54"/>
  <c r="R235" i="54"/>
  <c r="F234" i="52"/>
  <c r="Q234" i="54"/>
  <c r="J234" i="54"/>
  <c r="P234" i="54"/>
  <c r="R234" i="54"/>
  <c r="F233" i="52"/>
  <c r="K234" i="54"/>
  <c r="L234" i="54"/>
  <c r="Q233" i="54"/>
  <c r="L233" i="54"/>
  <c r="K233" i="54"/>
  <c r="J233" i="54"/>
  <c r="P233" i="54"/>
  <c r="R233" i="54"/>
  <c r="F232" i="52"/>
  <c r="Q232" i="54"/>
  <c r="Q231" i="54"/>
  <c r="Q230" i="54"/>
  <c r="Q229" i="54"/>
  <c r="Q228" i="54"/>
  <c r="J228" i="54"/>
  <c r="K228" i="54"/>
  <c r="L228" i="54"/>
  <c r="P228" i="54"/>
  <c r="R228" i="54"/>
  <c r="Q227" i="54"/>
  <c r="L227" i="54"/>
  <c r="K227" i="54"/>
  <c r="J227" i="54"/>
  <c r="P227" i="54"/>
  <c r="R227" i="54"/>
  <c r="Q226" i="54"/>
  <c r="J226" i="54"/>
  <c r="K226" i="54"/>
  <c r="L226" i="54"/>
  <c r="P226" i="54"/>
  <c r="R226" i="54"/>
  <c r="H230" i="52"/>
  <c r="I230" i="52" s="1"/>
  <c r="G228" i="52"/>
  <c r="G227" i="52"/>
  <c r="G225" i="52"/>
  <c r="R313" i="33"/>
  <c r="S313" i="33"/>
  <c r="N313" i="33"/>
  <c r="O313" i="33"/>
  <c r="I313" i="33"/>
  <c r="R312" i="33"/>
  <c r="S312" i="33"/>
  <c r="N312" i="33"/>
  <c r="O312" i="33"/>
  <c r="I312" i="33"/>
  <c r="R311" i="33"/>
  <c r="S311" i="33"/>
  <c r="N311" i="33"/>
  <c r="O311" i="33"/>
  <c r="I311" i="33"/>
  <c r="R310" i="33"/>
  <c r="S310" i="33"/>
  <c r="N310" i="33"/>
  <c r="O310" i="33"/>
  <c r="I310" i="33"/>
  <c r="R309" i="33"/>
  <c r="S309" i="33"/>
  <c r="N309" i="33"/>
  <c r="O309" i="33"/>
  <c r="I309" i="33"/>
  <c r="R308" i="33"/>
  <c r="S308" i="33"/>
  <c r="N308" i="33"/>
  <c r="O308" i="33"/>
  <c r="I308" i="33"/>
  <c r="R307" i="33"/>
  <c r="S307" i="33"/>
  <c r="N307" i="33"/>
  <c r="O307" i="33"/>
  <c r="I307" i="33"/>
  <c r="R306" i="33"/>
  <c r="S306" i="33"/>
  <c r="N306" i="33"/>
  <c r="O306" i="33"/>
  <c r="I306" i="33"/>
  <c r="R305" i="33"/>
  <c r="S305" i="33"/>
  <c r="N305" i="33"/>
  <c r="O305" i="33"/>
  <c r="I305" i="33"/>
  <c r="R304" i="33"/>
  <c r="S304" i="33"/>
  <c r="N304" i="33"/>
  <c r="O304" i="33"/>
  <c r="I304" i="33"/>
  <c r="R303" i="33"/>
  <c r="S303" i="33"/>
  <c r="N303" i="33"/>
  <c r="O303" i="33"/>
  <c r="I303" i="33"/>
  <c r="R302" i="33"/>
  <c r="S302" i="33"/>
  <c r="N302" i="33"/>
  <c r="O302" i="33"/>
  <c r="I302" i="33"/>
  <c r="E313" i="32"/>
  <c r="F313" i="32" s="1"/>
  <c r="K313" i="32" s="1"/>
  <c r="I312" i="32"/>
  <c r="J312" i="32" s="1"/>
  <c r="E312" i="32"/>
  <c r="F312" i="32" s="1"/>
  <c r="E311" i="32"/>
  <c r="F311" i="32" s="1"/>
  <c r="K311" i="32" s="1"/>
  <c r="E310" i="32"/>
  <c r="F310" i="32" s="1"/>
  <c r="E309" i="32"/>
  <c r="F309" i="32" s="1"/>
  <c r="I308" i="32"/>
  <c r="J308" i="32"/>
  <c r="E308" i="32"/>
  <c r="F308" i="32" s="1"/>
  <c r="E307" i="32"/>
  <c r="F307" i="32" s="1"/>
  <c r="E306" i="32"/>
  <c r="F306" i="32" s="1"/>
  <c r="E305" i="32"/>
  <c r="F305" i="32" s="1"/>
  <c r="K305" i="32" s="1"/>
  <c r="I304" i="32"/>
  <c r="J304" i="32" s="1"/>
  <c r="E304" i="32"/>
  <c r="F304" i="32" s="1"/>
  <c r="E303" i="32"/>
  <c r="F303" i="32" s="1"/>
  <c r="K303" i="32" s="1"/>
  <c r="E302" i="32"/>
  <c r="F302" i="32" s="1"/>
  <c r="E293" i="32"/>
  <c r="F293" i="32"/>
  <c r="H293" i="32"/>
  <c r="I293" i="32"/>
  <c r="J293" i="32"/>
  <c r="E291" i="32"/>
  <c r="F291" i="32"/>
  <c r="H291" i="32"/>
  <c r="I291" i="32"/>
  <c r="J291" i="32"/>
  <c r="K291" i="32"/>
  <c r="E295" i="32"/>
  <c r="F295" i="32"/>
  <c r="H295" i="32"/>
  <c r="I295" i="32"/>
  <c r="J295" i="32"/>
  <c r="E297" i="32"/>
  <c r="F297" i="32"/>
  <c r="H297" i="32"/>
  <c r="I297" i="32"/>
  <c r="J297" i="32"/>
  <c r="E299" i="32"/>
  <c r="F299" i="32"/>
  <c r="H299" i="32"/>
  <c r="I299" i="32"/>
  <c r="J299" i="32"/>
  <c r="Z299" i="33"/>
  <c r="Z272" i="33"/>
  <c r="Z273" i="33"/>
  <c r="Z274" i="33"/>
  <c r="Z275" i="33"/>
  <c r="Z276" i="33"/>
  <c r="Z277" i="33"/>
  <c r="Z278" i="33"/>
  <c r="Z279" i="33"/>
  <c r="Z280" i="33"/>
  <c r="Z281" i="33"/>
  <c r="Z282" i="33"/>
  <c r="Z283" i="33"/>
  <c r="Z284" i="33"/>
  <c r="Z285" i="33"/>
  <c r="Z286" i="33"/>
  <c r="Z287" i="33"/>
  <c r="Z288" i="33"/>
  <c r="Z289" i="33"/>
  <c r="Z290" i="33"/>
  <c r="Z291" i="33"/>
  <c r="Z292" i="33"/>
  <c r="Z293" i="33"/>
  <c r="Z260" i="33"/>
  <c r="Z261" i="33"/>
  <c r="Z262" i="33"/>
  <c r="Z263" i="33"/>
  <c r="Z264" i="33"/>
  <c r="Z265" i="33"/>
  <c r="Z266" i="33"/>
  <c r="Z267" i="33"/>
  <c r="Z268" i="33"/>
  <c r="Z269" i="33"/>
  <c r="Z270" i="33"/>
  <c r="Z271" i="33"/>
  <c r="Z243" i="33"/>
  <c r="Z244" i="33"/>
  <c r="Z245" i="33"/>
  <c r="Z246" i="33"/>
  <c r="Z247" i="33"/>
  <c r="Z248" i="33"/>
  <c r="Z249" i="33"/>
  <c r="Z250" i="33"/>
  <c r="Z251" i="33"/>
  <c r="Z252" i="33"/>
  <c r="Z253" i="33"/>
  <c r="Z254" i="33"/>
  <c r="Z255" i="33"/>
  <c r="Z256" i="33"/>
  <c r="Z257" i="33"/>
  <c r="Z258" i="33"/>
  <c r="Z259" i="33"/>
  <c r="J217" i="54"/>
  <c r="K217" i="54"/>
  <c r="L217" i="54"/>
  <c r="P217" i="54"/>
  <c r="R217" i="54"/>
  <c r="H216" i="52"/>
  <c r="I216" i="52" s="1"/>
  <c r="J218" i="54"/>
  <c r="K218" i="54"/>
  <c r="L218" i="54"/>
  <c r="P218" i="54"/>
  <c r="R218" i="54"/>
  <c r="J219" i="54"/>
  <c r="K219" i="54"/>
  <c r="L219" i="54"/>
  <c r="P219" i="54"/>
  <c r="R219" i="54"/>
  <c r="F202" i="52"/>
  <c r="H202" i="52" s="1"/>
  <c r="I202" i="52" s="1"/>
  <c r="F203" i="52"/>
  <c r="G203" i="52" s="1"/>
  <c r="F204" i="52"/>
  <c r="G204" i="52" s="1"/>
  <c r="F205" i="52"/>
  <c r="G205" i="52" s="1"/>
  <c r="F206" i="52"/>
  <c r="H206" i="52" s="1"/>
  <c r="I206" i="52" s="1"/>
  <c r="F207" i="52"/>
  <c r="G207" i="52" s="1"/>
  <c r="F208" i="52"/>
  <c r="H208" i="52" s="1"/>
  <c r="I208" i="52" s="1"/>
  <c r="F209" i="52"/>
  <c r="G209" i="52" s="1"/>
  <c r="F210" i="52"/>
  <c r="H210" i="52" s="1"/>
  <c r="I210" i="52" s="1"/>
  <c r="F211" i="52"/>
  <c r="H211" i="52"/>
  <c r="I211" i="52"/>
  <c r="F212" i="52"/>
  <c r="H212" i="52" s="1"/>
  <c r="I212" i="52" s="1"/>
  <c r="Q225" i="54"/>
  <c r="L225" i="54"/>
  <c r="K225" i="54"/>
  <c r="J225" i="54"/>
  <c r="Q224" i="54"/>
  <c r="L224" i="54"/>
  <c r="P224" i="54"/>
  <c r="R224" i="54"/>
  <c r="K224" i="54"/>
  <c r="J224" i="54"/>
  <c r="Q223" i="54"/>
  <c r="L223" i="54"/>
  <c r="K223" i="54"/>
  <c r="J223" i="54"/>
  <c r="P223" i="54"/>
  <c r="R223" i="54"/>
  <c r="Q222" i="54"/>
  <c r="L222" i="54"/>
  <c r="K222" i="54"/>
  <c r="J222" i="54"/>
  <c r="Q221" i="54"/>
  <c r="L221" i="54"/>
  <c r="K221" i="54"/>
  <c r="J221" i="54"/>
  <c r="Q220" i="54"/>
  <c r="L220" i="54"/>
  <c r="K220" i="54"/>
  <c r="J220" i="54"/>
  <c r="Q219" i="54"/>
  <c r="Q218" i="54"/>
  <c r="Q217" i="54"/>
  <c r="Q216" i="54"/>
  <c r="L216" i="54"/>
  <c r="K216" i="54"/>
  <c r="J216" i="54"/>
  <c r="Q215" i="54"/>
  <c r="L215" i="54"/>
  <c r="K215" i="54"/>
  <c r="J215" i="54"/>
  <c r="Q214" i="54"/>
  <c r="L214" i="54"/>
  <c r="K214" i="54"/>
  <c r="J214" i="54"/>
  <c r="F201" i="52"/>
  <c r="G201" i="52" s="1"/>
  <c r="G216" i="52"/>
  <c r="H215" i="52"/>
  <c r="I215" i="52" s="1"/>
  <c r="G215" i="52"/>
  <c r="R301" i="33"/>
  <c r="S301" i="33"/>
  <c r="I301" i="33"/>
  <c r="R300" i="33"/>
  <c r="S300" i="33"/>
  <c r="I300" i="33"/>
  <c r="R299" i="33"/>
  <c r="S299" i="33"/>
  <c r="I299" i="33"/>
  <c r="R298" i="33"/>
  <c r="S298" i="33"/>
  <c r="I298" i="33"/>
  <c r="R297" i="33"/>
  <c r="S297" i="33"/>
  <c r="I297" i="33"/>
  <c r="R296" i="33"/>
  <c r="S296" i="33"/>
  <c r="I296" i="33"/>
  <c r="R295" i="33"/>
  <c r="S295" i="33"/>
  <c r="I295" i="33"/>
  <c r="R294" i="33"/>
  <c r="S294" i="33"/>
  <c r="I294" i="33"/>
  <c r="R293" i="33"/>
  <c r="S293" i="33"/>
  <c r="I293" i="33"/>
  <c r="R292" i="33"/>
  <c r="S292" i="33"/>
  <c r="I292" i="33"/>
  <c r="R291" i="33"/>
  <c r="S291" i="33"/>
  <c r="M243" i="33"/>
  <c r="M244" i="33"/>
  <c r="M245" i="33"/>
  <c r="M246" i="33"/>
  <c r="M247" i="33"/>
  <c r="M248" i="33"/>
  <c r="M249" i="33"/>
  <c r="M250" i="33"/>
  <c r="M251" i="33"/>
  <c r="M252" i="33"/>
  <c r="M253" i="33"/>
  <c r="M254" i="33"/>
  <c r="M255" i="33"/>
  <c r="M256" i="33"/>
  <c r="M257" i="33"/>
  <c r="M258" i="33"/>
  <c r="M259" i="33"/>
  <c r="M260" i="33"/>
  <c r="M261" i="33"/>
  <c r="M262" i="33"/>
  <c r="M263" i="33"/>
  <c r="M264" i="33"/>
  <c r="M265" i="33"/>
  <c r="M266" i="33"/>
  <c r="M267" i="33"/>
  <c r="M268" i="33"/>
  <c r="M269" i="33"/>
  <c r="M270" i="33"/>
  <c r="M271" i="33"/>
  <c r="M272" i="33"/>
  <c r="M273" i="33"/>
  <c r="M274" i="33"/>
  <c r="M275" i="33"/>
  <c r="M276" i="33"/>
  <c r="M277" i="33"/>
  <c r="M278" i="33"/>
  <c r="M279" i="33"/>
  <c r="M280" i="33"/>
  <c r="M281" i="33"/>
  <c r="M282" i="33"/>
  <c r="M283" i="33"/>
  <c r="M284" i="33"/>
  <c r="M285" i="33"/>
  <c r="M286" i="33"/>
  <c r="M287" i="33"/>
  <c r="M288" i="33"/>
  <c r="M289" i="33"/>
  <c r="M290" i="33"/>
  <c r="M291" i="33"/>
  <c r="I291" i="33"/>
  <c r="J302" i="33"/>
  <c r="K302" i="33" s="1"/>
  <c r="R290" i="33"/>
  <c r="S290" i="33"/>
  <c r="L243" i="33"/>
  <c r="L244" i="33"/>
  <c r="L245" i="33"/>
  <c r="L246" i="33"/>
  <c r="L247" i="33"/>
  <c r="L248" i="33"/>
  <c r="L249" i="33"/>
  <c r="L250" i="33"/>
  <c r="L251" i="33"/>
  <c r="L252" i="33"/>
  <c r="L253" i="33"/>
  <c r="L254" i="33"/>
  <c r="L255" i="33"/>
  <c r="L256" i="33"/>
  <c r="L257" i="33"/>
  <c r="L258" i="33"/>
  <c r="L259" i="33"/>
  <c r="L260" i="33"/>
  <c r="L261" i="33"/>
  <c r="L262" i="33"/>
  <c r="L263" i="33"/>
  <c r="L264" i="33"/>
  <c r="L265" i="33"/>
  <c r="L266" i="33"/>
  <c r="L267" i="33"/>
  <c r="L268" i="33"/>
  <c r="L269" i="33"/>
  <c r="L270" i="33"/>
  <c r="L271" i="33"/>
  <c r="L272" i="33"/>
  <c r="L273" i="33"/>
  <c r="L274" i="33"/>
  <c r="L275" i="33"/>
  <c r="L276" i="33"/>
  <c r="L277" i="33"/>
  <c r="L278" i="33"/>
  <c r="L279" i="33"/>
  <c r="L280" i="33"/>
  <c r="L281" i="33"/>
  <c r="L282" i="33"/>
  <c r="L283" i="33"/>
  <c r="L284" i="33"/>
  <c r="L285" i="33"/>
  <c r="L286" i="33"/>
  <c r="L287" i="33"/>
  <c r="L288" i="33"/>
  <c r="L289" i="33"/>
  <c r="L290" i="33"/>
  <c r="N290" i="33"/>
  <c r="O290" i="33"/>
  <c r="I290" i="33"/>
  <c r="I289" i="33"/>
  <c r="H301" i="32"/>
  <c r="I301" i="32"/>
  <c r="J301" i="32"/>
  <c r="E301" i="32"/>
  <c r="F301" i="32"/>
  <c r="H300" i="32"/>
  <c r="I300" i="32"/>
  <c r="J300" i="32"/>
  <c r="E300" i="32"/>
  <c r="F300" i="32"/>
  <c r="H298" i="32"/>
  <c r="I298" i="32"/>
  <c r="J298" i="32"/>
  <c r="E298" i="32"/>
  <c r="F298" i="32"/>
  <c r="E285" i="32"/>
  <c r="F285" i="32"/>
  <c r="H285" i="32"/>
  <c r="I285" i="32"/>
  <c r="J285" i="32"/>
  <c r="K285" i="32"/>
  <c r="H296" i="32"/>
  <c r="I296" i="32"/>
  <c r="J296" i="32"/>
  <c r="E296" i="32"/>
  <c r="F296" i="32"/>
  <c r="H294" i="32"/>
  <c r="I294" i="32"/>
  <c r="J294" i="32"/>
  <c r="E294" i="32"/>
  <c r="F294" i="32"/>
  <c r="H292" i="32"/>
  <c r="I292" i="32"/>
  <c r="J292" i="32"/>
  <c r="E292" i="32"/>
  <c r="F292" i="32"/>
  <c r="H290" i="32"/>
  <c r="I290" i="32"/>
  <c r="J290" i="32"/>
  <c r="E290" i="32"/>
  <c r="F290" i="32"/>
  <c r="E278" i="32"/>
  <c r="F278" i="32"/>
  <c r="H278" i="32"/>
  <c r="I278" i="32"/>
  <c r="J278" i="32"/>
  <c r="K278" i="32"/>
  <c r="P215" i="54"/>
  <c r="R215" i="54"/>
  <c r="P221" i="54"/>
  <c r="R221" i="54"/>
  <c r="P225" i="54"/>
  <c r="R225" i="54"/>
  <c r="P214" i="54"/>
  <c r="R214" i="54"/>
  <c r="F213" i="52"/>
  <c r="G213" i="52"/>
  <c r="P216" i="54"/>
  <c r="R216" i="54"/>
  <c r="P220" i="54"/>
  <c r="R220" i="54"/>
  <c r="P222" i="54"/>
  <c r="R222" i="54"/>
  <c r="M292" i="33"/>
  <c r="M293" i="33"/>
  <c r="L291" i="33"/>
  <c r="M294" i="33"/>
  <c r="M295" i="33"/>
  <c r="M296" i="33"/>
  <c r="E282" i="32"/>
  <c r="F282" i="32"/>
  <c r="H282" i="32"/>
  <c r="I282" i="32"/>
  <c r="J282" i="32"/>
  <c r="K282" i="32"/>
  <c r="E281" i="32"/>
  <c r="F281" i="32"/>
  <c r="H281" i="32"/>
  <c r="I281" i="32"/>
  <c r="J281" i="32"/>
  <c r="K281" i="32"/>
  <c r="E280" i="32"/>
  <c r="F280" i="32"/>
  <c r="H280" i="32"/>
  <c r="I280" i="32"/>
  <c r="J280" i="32"/>
  <c r="K280" i="32"/>
  <c r="M297" i="33"/>
  <c r="M298" i="33"/>
  <c r="M299" i="33"/>
  <c r="L292" i="33"/>
  <c r="N291" i="33"/>
  <c r="O291" i="33"/>
  <c r="E279" i="32"/>
  <c r="F279" i="32"/>
  <c r="H279" i="32"/>
  <c r="I279" i="32"/>
  <c r="J279" i="32"/>
  <c r="K279" i="32"/>
  <c r="E283" i="32"/>
  <c r="F283" i="32"/>
  <c r="H283" i="32"/>
  <c r="I283" i="32"/>
  <c r="J283" i="32"/>
  <c r="K283" i="32"/>
  <c r="N292" i="33"/>
  <c r="O292" i="33"/>
  <c r="L293" i="33"/>
  <c r="N293" i="33"/>
  <c r="O293" i="33"/>
  <c r="M300" i="33"/>
  <c r="M301" i="33"/>
  <c r="H289" i="32"/>
  <c r="I289" i="32"/>
  <c r="J289" i="32"/>
  <c r="E289" i="32"/>
  <c r="F289" i="32"/>
  <c r="H288" i="32"/>
  <c r="I288" i="32"/>
  <c r="J288" i="32"/>
  <c r="E288" i="32"/>
  <c r="F288" i="32"/>
  <c r="H287" i="32"/>
  <c r="I287" i="32"/>
  <c r="J287" i="32"/>
  <c r="E287" i="32"/>
  <c r="F287" i="32"/>
  <c r="H286" i="32"/>
  <c r="I286" i="32"/>
  <c r="J286" i="32"/>
  <c r="E286" i="32"/>
  <c r="F286" i="32"/>
  <c r="H284" i="32"/>
  <c r="I284" i="32"/>
  <c r="J284" i="32"/>
  <c r="E284" i="32"/>
  <c r="F284" i="32"/>
  <c r="R289" i="33"/>
  <c r="R288" i="33"/>
  <c r="I288" i="33"/>
  <c r="R287" i="33"/>
  <c r="I287" i="33"/>
  <c r="R286" i="33"/>
  <c r="I286" i="33"/>
  <c r="R285" i="33"/>
  <c r="I285" i="33"/>
  <c r="R284" i="33"/>
  <c r="I284" i="33"/>
  <c r="R283" i="33"/>
  <c r="I283" i="33"/>
  <c r="R282" i="33"/>
  <c r="I282" i="33"/>
  <c r="R281" i="33"/>
  <c r="I281" i="33"/>
  <c r="R280" i="33"/>
  <c r="I280" i="33"/>
  <c r="R279" i="33"/>
  <c r="I279" i="33"/>
  <c r="R278" i="33"/>
  <c r="I278" i="33"/>
  <c r="H203" i="52"/>
  <c r="I203" i="52" s="1"/>
  <c r="H204" i="52"/>
  <c r="I204" i="52" s="1"/>
  <c r="H205" i="52"/>
  <c r="I205" i="52" s="1"/>
  <c r="G211" i="52"/>
  <c r="G188" i="52"/>
  <c r="G189" i="52"/>
  <c r="G190" i="52"/>
  <c r="G191" i="52"/>
  <c r="G192" i="52"/>
  <c r="G193" i="52"/>
  <c r="G194" i="52"/>
  <c r="G195" i="52"/>
  <c r="G196" i="52"/>
  <c r="G197" i="52"/>
  <c r="G198" i="52"/>
  <c r="G199" i="52"/>
  <c r="G200" i="52"/>
  <c r="G177" i="52"/>
  <c r="G178" i="52"/>
  <c r="G179" i="52"/>
  <c r="G180" i="52"/>
  <c r="G181" i="52"/>
  <c r="G182" i="52"/>
  <c r="G183" i="52"/>
  <c r="G184" i="52"/>
  <c r="G185" i="52"/>
  <c r="G186" i="52"/>
  <c r="G187" i="52"/>
  <c r="H182" i="52"/>
  <c r="H183" i="52"/>
  <c r="H184" i="52"/>
  <c r="H185" i="52"/>
  <c r="H186" i="52"/>
  <c r="H187" i="52"/>
  <c r="H188" i="52"/>
  <c r="H189" i="52"/>
  <c r="H190" i="52"/>
  <c r="H191" i="52"/>
  <c r="H192" i="52"/>
  <c r="H193" i="52"/>
  <c r="H194" i="52"/>
  <c r="H195" i="52"/>
  <c r="H196" i="52"/>
  <c r="H197" i="52"/>
  <c r="H198" i="52"/>
  <c r="H199" i="52"/>
  <c r="H200" i="52"/>
  <c r="Q213" i="54"/>
  <c r="L213" i="54"/>
  <c r="K213" i="54"/>
  <c r="J213" i="54"/>
  <c r="Q212" i="54"/>
  <c r="L212" i="54"/>
  <c r="K212" i="54"/>
  <c r="J212" i="54"/>
  <c r="Q211" i="54"/>
  <c r="L211" i="54"/>
  <c r="K211" i="54"/>
  <c r="J211" i="54"/>
  <c r="Q210" i="54"/>
  <c r="L210" i="54"/>
  <c r="K210" i="54"/>
  <c r="J210" i="54"/>
  <c r="Q209" i="54"/>
  <c r="L209" i="54"/>
  <c r="K209" i="54"/>
  <c r="J209" i="54"/>
  <c r="Q208" i="54"/>
  <c r="L208" i="54"/>
  <c r="K208" i="54"/>
  <c r="J208" i="54"/>
  <c r="Q207" i="54"/>
  <c r="L207" i="54"/>
  <c r="K207" i="54"/>
  <c r="J207" i="54"/>
  <c r="Q206" i="54"/>
  <c r="L206" i="54"/>
  <c r="K206" i="54"/>
  <c r="J206" i="54"/>
  <c r="Q205" i="54"/>
  <c r="L205" i="54"/>
  <c r="K205" i="54"/>
  <c r="J205" i="54"/>
  <c r="Q204" i="54"/>
  <c r="L204" i="54"/>
  <c r="K204" i="54"/>
  <c r="J204" i="54"/>
  <c r="Q203" i="54"/>
  <c r="L203" i="54"/>
  <c r="K203" i="54"/>
  <c r="J203" i="54"/>
  <c r="Q202" i="54"/>
  <c r="L202" i="54"/>
  <c r="K202" i="54"/>
  <c r="J202" i="54"/>
  <c r="J291" i="33"/>
  <c r="K291" i="33"/>
  <c r="J299" i="33"/>
  <c r="K299" i="33"/>
  <c r="J296" i="33"/>
  <c r="K296" i="33"/>
  <c r="L294" i="33"/>
  <c r="L295" i="33"/>
  <c r="N295" i="33"/>
  <c r="O295" i="33"/>
  <c r="P212" i="54"/>
  <c r="R212" i="54"/>
  <c r="K289" i="32"/>
  <c r="P208" i="54"/>
  <c r="R208" i="54"/>
  <c r="P210" i="54"/>
  <c r="R210" i="54"/>
  <c r="K284" i="32"/>
  <c r="J289" i="33"/>
  <c r="M278" i="32"/>
  <c r="M281" i="32"/>
  <c r="K286" i="32"/>
  <c r="M286" i="32"/>
  <c r="K288" i="32"/>
  <c r="M288" i="32"/>
  <c r="M282" i="32"/>
  <c r="M285" i="32"/>
  <c r="M280" i="32"/>
  <c r="M284" i="32"/>
  <c r="K287" i="32"/>
  <c r="P202" i="54"/>
  <c r="R202" i="54"/>
  <c r="P204" i="54"/>
  <c r="R204" i="54"/>
  <c r="P206" i="54"/>
  <c r="R206" i="54"/>
  <c r="P213" i="54"/>
  <c r="R213" i="54"/>
  <c r="P203" i="54"/>
  <c r="R203" i="54"/>
  <c r="P205" i="54"/>
  <c r="R205" i="54"/>
  <c r="P207" i="54"/>
  <c r="R207" i="54"/>
  <c r="P209" i="54"/>
  <c r="R209" i="54"/>
  <c r="P211" i="54"/>
  <c r="R211" i="54"/>
  <c r="R275" i="54"/>
  <c r="M289" i="32"/>
  <c r="N294" i="33"/>
  <c r="O294" i="33"/>
  <c r="L296" i="33"/>
  <c r="M279" i="32"/>
  <c r="M287" i="32"/>
  <c r="M283" i="32"/>
  <c r="Q201" i="54"/>
  <c r="L201" i="54"/>
  <c r="K201" i="54"/>
  <c r="J201" i="54"/>
  <c r="Q200" i="54"/>
  <c r="L200" i="54"/>
  <c r="K200" i="54"/>
  <c r="J200" i="54"/>
  <c r="Q199" i="54"/>
  <c r="L199" i="54"/>
  <c r="K199" i="54"/>
  <c r="J199" i="54"/>
  <c r="Q198" i="54"/>
  <c r="L198" i="54"/>
  <c r="K198" i="54"/>
  <c r="J198" i="54"/>
  <c r="Q197" i="54"/>
  <c r="L197" i="54"/>
  <c r="K197" i="54"/>
  <c r="J197" i="54"/>
  <c r="Q196" i="54"/>
  <c r="L196" i="54"/>
  <c r="K196" i="54"/>
  <c r="J196" i="54"/>
  <c r="Q195" i="54"/>
  <c r="L195" i="54"/>
  <c r="K195" i="54"/>
  <c r="J195" i="54"/>
  <c r="Q194" i="54"/>
  <c r="L194" i="54"/>
  <c r="K194" i="54"/>
  <c r="J194" i="54"/>
  <c r="Q193" i="54"/>
  <c r="L193" i="54"/>
  <c r="K193" i="54"/>
  <c r="J193" i="54"/>
  <c r="Q192" i="54"/>
  <c r="L192" i="54"/>
  <c r="K192" i="54"/>
  <c r="J192" i="54"/>
  <c r="Q191" i="54"/>
  <c r="L191" i="54"/>
  <c r="P191" i="54"/>
  <c r="R191" i="54"/>
  <c r="K191" i="54"/>
  <c r="J191" i="54"/>
  <c r="Q190" i="54"/>
  <c r="L190" i="54"/>
  <c r="K190" i="54"/>
  <c r="J190" i="54"/>
  <c r="I199" i="52"/>
  <c r="I198" i="52"/>
  <c r="I197" i="52"/>
  <c r="I196" i="52"/>
  <c r="I195" i="52"/>
  <c r="I194" i="52"/>
  <c r="I193" i="52"/>
  <c r="I192" i="52"/>
  <c r="I191" i="52"/>
  <c r="I190" i="52"/>
  <c r="I189" i="52"/>
  <c r="R277" i="33"/>
  <c r="I277" i="33"/>
  <c r="J288" i="33"/>
  <c r="R276" i="33"/>
  <c r="I276" i="33"/>
  <c r="R275" i="33"/>
  <c r="I275" i="33"/>
  <c r="R274" i="33"/>
  <c r="I274" i="33"/>
  <c r="R273" i="33"/>
  <c r="I273" i="33"/>
  <c r="R272" i="33"/>
  <c r="I272" i="33"/>
  <c r="R271" i="33"/>
  <c r="I271" i="33"/>
  <c r="R270" i="33"/>
  <c r="I270" i="33"/>
  <c r="R269" i="33"/>
  <c r="I269" i="33"/>
  <c r="R268" i="33"/>
  <c r="I268" i="33"/>
  <c r="R267" i="33"/>
  <c r="I267" i="33"/>
  <c r="R266" i="33"/>
  <c r="I266" i="33"/>
  <c r="H277" i="32"/>
  <c r="I277" i="32"/>
  <c r="J277" i="32"/>
  <c r="E277" i="32"/>
  <c r="F277" i="32"/>
  <c r="K277" i="32"/>
  <c r="L289" i="32"/>
  <c r="H276" i="32"/>
  <c r="I276" i="32"/>
  <c r="J276" i="32"/>
  <c r="E276" i="32"/>
  <c r="F276" i="32"/>
  <c r="H275" i="32"/>
  <c r="I275" i="32"/>
  <c r="J275" i="32"/>
  <c r="E275" i="32"/>
  <c r="F275" i="32"/>
  <c r="H274" i="32"/>
  <c r="I274" i="32"/>
  <c r="J274" i="32"/>
  <c r="E274" i="32"/>
  <c r="F274" i="32"/>
  <c r="H273" i="32"/>
  <c r="I273" i="32"/>
  <c r="J273" i="32"/>
  <c r="E273" i="32"/>
  <c r="F273" i="32"/>
  <c r="H272" i="32"/>
  <c r="I272" i="32"/>
  <c r="J272" i="32"/>
  <c r="E272" i="32"/>
  <c r="F272" i="32"/>
  <c r="H271" i="32"/>
  <c r="I271" i="32"/>
  <c r="J271" i="32"/>
  <c r="E271" i="32"/>
  <c r="F271" i="32"/>
  <c r="H270" i="32"/>
  <c r="I270" i="32"/>
  <c r="J270" i="32"/>
  <c r="E270" i="32"/>
  <c r="F270" i="32"/>
  <c r="H269" i="32"/>
  <c r="I269" i="32"/>
  <c r="J269" i="32"/>
  <c r="E269" i="32"/>
  <c r="F269" i="32"/>
  <c r="H268" i="32"/>
  <c r="I268" i="32"/>
  <c r="J268" i="32"/>
  <c r="E268" i="32"/>
  <c r="F268" i="32"/>
  <c r="H267" i="32"/>
  <c r="I267" i="32"/>
  <c r="J267" i="32"/>
  <c r="E267" i="32"/>
  <c r="F267" i="32"/>
  <c r="H266" i="32"/>
  <c r="I266" i="32"/>
  <c r="J266" i="32"/>
  <c r="E266" i="32"/>
  <c r="F266" i="32"/>
  <c r="N296" i="33"/>
  <c r="O296" i="33"/>
  <c r="L297" i="33"/>
  <c r="J279" i="33"/>
  <c r="J283" i="33"/>
  <c r="J285" i="33"/>
  <c r="J287" i="33"/>
  <c r="J281" i="33"/>
  <c r="J278" i="33"/>
  <c r="J280" i="33"/>
  <c r="J284" i="33"/>
  <c r="J286" i="33"/>
  <c r="J282" i="33"/>
  <c r="K275" i="32"/>
  <c r="P199" i="54"/>
  <c r="R199" i="54"/>
  <c r="K273" i="32"/>
  <c r="K272" i="32"/>
  <c r="J277" i="33"/>
  <c r="P197" i="54"/>
  <c r="R197" i="54"/>
  <c r="K268" i="32"/>
  <c r="P194" i="54"/>
  <c r="R194" i="54"/>
  <c r="P195" i="54"/>
  <c r="R195" i="54"/>
  <c r="P201" i="54"/>
  <c r="R201" i="54"/>
  <c r="P196" i="54"/>
  <c r="R196" i="54"/>
  <c r="P193" i="54"/>
  <c r="R193" i="54"/>
  <c r="P190" i="54"/>
  <c r="R190" i="54"/>
  <c r="P198" i="54"/>
  <c r="R198" i="54"/>
  <c r="P192" i="54"/>
  <c r="R192" i="54"/>
  <c r="P200" i="54"/>
  <c r="R200" i="54"/>
  <c r="K269" i="32"/>
  <c r="K276" i="32"/>
  <c r="M277" i="32"/>
  <c r="E265" i="32"/>
  <c r="F265" i="32"/>
  <c r="H265" i="32"/>
  <c r="I265" i="32"/>
  <c r="J265" i="32"/>
  <c r="K265" i="32"/>
  <c r="L277" i="32"/>
  <c r="K267" i="32"/>
  <c r="L279" i="32"/>
  <c r="K271" i="32"/>
  <c r="L283" i="32"/>
  <c r="K266" i="32"/>
  <c r="L278" i="32"/>
  <c r="K270" i="32"/>
  <c r="L282" i="32"/>
  <c r="K274" i="32"/>
  <c r="L286" i="32"/>
  <c r="N297" i="33"/>
  <c r="O297" i="33"/>
  <c r="L298" i="33"/>
  <c r="N298" i="33"/>
  <c r="O298" i="33"/>
  <c r="L299" i="33"/>
  <c r="N299" i="33"/>
  <c r="O299" i="33"/>
  <c r="M268" i="32"/>
  <c r="L280" i="32"/>
  <c r="M273" i="32"/>
  <c r="L285" i="32"/>
  <c r="E257" i="32"/>
  <c r="F257" i="32"/>
  <c r="H257" i="32"/>
  <c r="I257" i="32"/>
  <c r="J257" i="32"/>
  <c r="K257" i="32"/>
  <c r="L269" i="32"/>
  <c r="L281" i="32"/>
  <c r="E260" i="32"/>
  <c r="F260" i="32"/>
  <c r="H260" i="32"/>
  <c r="I260" i="32"/>
  <c r="J260" i="32"/>
  <c r="K260" i="32"/>
  <c r="L272" i="32"/>
  <c r="L284" i="32"/>
  <c r="E264" i="32"/>
  <c r="F264" i="32"/>
  <c r="H264" i="32"/>
  <c r="I264" i="32"/>
  <c r="J264" i="32"/>
  <c r="K264" i="32"/>
  <c r="L276" i="32"/>
  <c r="L288" i="32"/>
  <c r="M275" i="32"/>
  <c r="L287" i="32"/>
  <c r="E263" i="32"/>
  <c r="F263" i="32"/>
  <c r="H263" i="32"/>
  <c r="I263" i="32"/>
  <c r="J263" i="32"/>
  <c r="K263" i="32"/>
  <c r="L275" i="32"/>
  <c r="E261" i="32"/>
  <c r="F261" i="32"/>
  <c r="H261" i="32"/>
  <c r="I261" i="32"/>
  <c r="J261" i="32"/>
  <c r="K261" i="32"/>
  <c r="L273" i="32"/>
  <c r="M272" i="32"/>
  <c r="M269" i="32"/>
  <c r="E256" i="32"/>
  <c r="F256" i="32"/>
  <c r="H256" i="32"/>
  <c r="I256" i="32"/>
  <c r="J256" i="32"/>
  <c r="K256" i="32"/>
  <c r="L268" i="32"/>
  <c r="M276" i="32"/>
  <c r="M274" i="32"/>
  <c r="E262" i="32"/>
  <c r="F262" i="32"/>
  <c r="H262" i="32"/>
  <c r="I262" i="32"/>
  <c r="J262" i="32"/>
  <c r="K262" i="32"/>
  <c r="L274" i="32"/>
  <c r="M267" i="32"/>
  <c r="E255" i="32"/>
  <c r="F255" i="32"/>
  <c r="H255" i="32"/>
  <c r="I255" i="32"/>
  <c r="J255" i="32"/>
  <c r="K255" i="32"/>
  <c r="L267" i="32"/>
  <c r="M270" i="32"/>
  <c r="E258" i="32"/>
  <c r="F258" i="32"/>
  <c r="H258" i="32"/>
  <c r="I258" i="32"/>
  <c r="J258" i="32"/>
  <c r="K258" i="32"/>
  <c r="L270" i="32"/>
  <c r="M266" i="32"/>
  <c r="E254" i="32"/>
  <c r="F254" i="32"/>
  <c r="H254" i="32"/>
  <c r="I254" i="32"/>
  <c r="J254" i="32"/>
  <c r="K254" i="32"/>
  <c r="L266" i="32"/>
  <c r="M271" i="32"/>
  <c r="E259" i="32"/>
  <c r="F259" i="32"/>
  <c r="H259" i="32"/>
  <c r="I259" i="32"/>
  <c r="J259" i="32"/>
  <c r="K259" i="32"/>
  <c r="L271" i="32"/>
  <c r="N134" i="31"/>
  <c r="N135" i="31"/>
  <c r="K135" i="31"/>
  <c r="L300" i="33"/>
  <c r="Z240" i="33"/>
  <c r="K134" i="31"/>
  <c r="N300" i="33"/>
  <c r="O300" i="33"/>
  <c r="L301" i="33"/>
  <c r="N301" i="33"/>
  <c r="O301" i="33"/>
  <c r="F176" i="52"/>
  <c r="G176" i="52" s="1"/>
  <c r="F175" i="52"/>
  <c r="G175" i="52" s="1"/>
  <c r="F174" i="52"/>
  <c r="G174" i="52" s="1"/>
  <c r="F171" i="52"/>
  <c r="G171" i="52" s="1"/>
  <c r="F172" i="52"/>
  <c r="G172" i="52" s="1"/>
  <c r="F173" i="52"/>
  <c r="G173" i="52"/>
  <c r="K129" i="31"/>
  <c r="K130" i="31"/>
  <c r="K131" i="31"/>
  <c r="K132" i="31"/>
  <c r="I254" i="33"/>
  <c r="R254" i="33"/>
  <c r="I255" i="33"/>
  <c r="R255" i="33"/>
  <c r="I256" i="33"/>
  <c r="R256" i="33"/>
  <c r="I257" i="33"/>
  <c r="R257" i="33"/>
  <c r="I258" i="33"/>
  <c r="R258" i="33"/>
  <c r="I259" i="33"/>
  <c r="R259" i="33"/>
  <c r="R265" i="33"/>
  <c r="I265" i="33"/>
  <c r="J276" i="33"/>
  <c r="R264" i="33"/>
  <c r="I264" i="33"/>
  <c r="R263" i="33"/>
  <c r="I263" i="33"/>
  <c r="R262" i="33"/>
  <c r="I262" i="33"/>
  <c r="R261" i="33"/>
  <c r="I261" i="33"/>
  <c r="R260" i="33"/>
  <c r="I260" i="33"/>
  <c r="N133" i="31"/>
  <c r="K133" i="31"/>
  <c r="N132" i="31"/>
  <c r="N131" i="31"/>
  <c r="N130" i="31"/>
  <c r="N129" i="31"/>
  <c r="N128" i="31"/>
  <c r="K128" i="31"/>
  <c r="N127" i="31"/>
  <c r="K127" i="31"/>
  <c r="N126" i="31"/>
  <c r="K126" i="31"/>
  <c r="N125" i="31"/>
  <c r="K125" i="31"/>
  <c r="N124" i="31"/>
  <c r="K124" i="31"/>
  <c r="J266" i="33"/>
  <c r="J274" i="33"/>
  <c r="J269" i="33"/>
  <c r="J267" i="33"/>
  <c r="J270" i="33"/>
  <c r="J272" i="33"/>
  <c r="J271" i="33"/>
  <c r="J273" i="33"/>
  <c r="J275" i="33"/>
  <c r="J268" i="33"/>
  <c r="H177" i="52"/>
  <c r="I177" i="52"/>
  <c r="H178" i="52"/>
  <c r="I178" i="52"/>
  <c r="H179" i="52"/>
  <c r="I179" i="52"/>
  <c r="H180" i="52"/>
  <c r="I180" i="52"/>
  <c r="H181" i="52"/>
  <c r="I181" i="52"/>
  <c r="I182" i="52"/>
  <c r="J265" i="33"/>
  <c r="N123" i="31"/>
  <c r="R251" i="33"/>
  <c r="R252" i="33"/>
  <c r="R253" i="33"/>
  <c r="I251" i="33"/>
  <c r="I252" i="33"/>
  <c r="I253" i="33"/>
  <c r="J263" i="33"/>
  <c r="J264" i="33"/>
  <c r="H252" i="32"/>
  <c r="I252" i="32"/>
  <c r="J252" i="32"/>
  <c r="H253" i="32"/>
  <c r="I253" i="32"/>
  <c r="J253" i="32"/>
  <c r="H251" i="32"/>
  <c r="I251" i="32"/>
  <c r="J251" i="32"/>
  <c r="E251" i="32"/>
  <c r="F251" i="32"/>
  <c r="E252" i="32"/>
  <c r="F252" i="32"/>
  <c r="K252" i="32"/>
  <c r="E253" i="32"/>
  <c r="F253" i="32"/>
  <c r="K251" i="32"/>
  <c r="L263" i="32"/>
  <c r="K253" i="32"/>
  <c r="J262" i="33"/>
  <c r="L265" i="32"/>
  <c r="L264" i="32"/>
  <c r="N116" i="31"/>
  <c r="N117" i="31"/>
  <c r="N118" i="31"/>
  <c r="N119" i="31"/>
  <c r="N120" i="31"/>
  <c r="N121" i="31"/>
  <c r="N122" i="31"/>
  <c r="N114" i="31"/>
  <c r="N115" i="31"/>
  <c r="K115" i="31"/>
  <c r="K114" i="31"/>
  <c r="N113" i="31"/>
  <c r="I277" i="52"/>
  <c r="Z341" i="33"/>
  <c r="M341" i="32"/>
  <c r="Q189" i="54"/>
  <c r="L189" i="54"/>
  <c r="K189" i="54"/>
  <c r="J189" i="54"/>
  <c r="Q188" i="54"/>
  <c r="L188" i="54"/>
  <c r="K188" i="54"/>
  <c r="J188" i="54"/>
  <c r="Q187" i="54"/>
  <c r="L187" i="54"/>
  <c r="K187" i="54"/>
  <c r="J187" i="54"/>
  <c r="Q186" i="54"/>
  <c r="L186" i="54"/>
  <c r="K186" i="54"/>
  <c r="J186" i="54"/>
  <c r="Q185" i="54"/>
  <c r="L185" i="54"/>
  <c r="K185" i="54"/>
  <c r="J185" i="54"/>
  <c r="P185" i="54"/>
  <c r="R185" i="54"/>
  <c r="Q184" i="54"/>
  <c r="L184" i="54"/>
  <c r="K184" i="54"/>
  <c r="J184" i="54"/>
  <c r="Q183" i="54"/>
  <c r="L183" i="54"/>
  <c r="K183" i="54"/>
  <c r="J183" i="54"/>
  <c r="P183" i="54"/>
  <c r="R183" i="54"/>
  <c r="Q182" i="54"/>
  <c r="L182" i="54"/>
  <c r="K182" i="54"/>
  <c r="J182" i="54"/>
  <c r="Q181" i="54"/>
  <c r="L181" i="54"/>
  <c r="K181" i="54"/>
  <c r="J181" i="54"/>
  <c r="P181" i="54"/>
  <c r="R181" i="54"/>
  <c r="Q180" i="54"/>
  <c r="L180" i="54"/>
  <c r="K180" i="54"/>
  <c r="J180" i="54"/>
  <c r="Q179" i="54"/>
  <c r="L179" i="54"/>
  <c r="K179" i="54"/>
  <c r="J179" i="54"/>
  <c r="P179" i="54"/>
  <c r="R179" i="54"/>
  <c r="Q178" i="54"/>
  <c r="L178" i="54"/>
  <c r="K178" i="54"/>
  <c r="J178" i="54"/>
  <c r="P187" i="54"/>
  <c r="R187" i="54"/>
  <c r="P189" i="54"/>
  <c r="R189" i="54"/>
  <c r="I184" i="52"/>
  <c r="P184" i="54"/>
  <c r="R184" i="54"/>
  <c r="P188" i="54"/>
  <c r="R188" i="54"/>
  <c r="P182" i="54"/>
  <c r="R182" i="54"/>
  <c r="P186" i="54"/>
  <c r="R186" i="54"/>
  <c r="P178" i="54"/>
  <c r="R178" i="54"/>
  <c r="P180" i="54"/>
  <c r="R180" i="54"/>
  <c r="N112" i="31"/>
  <c r="I187" i="52"/>
  <c r="I186" i="52"/>
  <c r="I185" i="52"/>
  <c r="I183" i="52"/>
  <c r="Q177" i="54"/>
  <c r="L177" i="54"/>
  <c r="K177" i="54"/>
  <c r="J177" i="54"/>
  <c r="Q176" i="54"/>
  <c r="L176" i="54"/>
  <c r="K176" i="54"/>
  <c r="J176" i="54"/>
  <c r="Q175" i="54"/>
  <c r="L175" i="54"/>
  <c r="K175" i="54"/>
  <c r="J175" i="54"/>
  <c r="Q174" i="54"/>
  <c r="L174" i="54"/>
  <c r="K174" i="54"/>
  <c r="J174" i="54"/>
  <c r="Q173" i="54"/>
  <c r="L173" i="54"/>
  <c r="K173" i="54"/>
  <c r="J173" i="54"/>
  <c r="Q172" i="54"/>
  <c r="L172" i="54"/>
  <c r="K172" i="54"/>
  <c r="J172" i="54"/>
  <c r="Q171" i="54"/>
  <c r="L171" i="54"/>
  <c r="K171" i="54"/>
  <c r="J171" i="54"/>
  <c r="Q170" i="54"/>
  <c r="L170" i="54"/>
  <c r="K170" i="54"/>
  <c r="J170" i="54"/>
  <c r="Q169" i="54"/>
  <c r="L169" i="54"/>
  <c r="K169" i="54"/>
  <c r="J169" i="54"/>
  <c r="Q168" i="54"/>
  <c r="L168" i="54"/>
  <c r="K168" i="54"/>
  <c r="J168" i="54"/>
  <c r="Q167" i="54"/>
  <c r="L167" i="54"/>
  <c r="K167" i="54"/>
  <c r="J167" i="54"/>
  <c r="Q166" i="54"/>
  <c r="L166" i="54"/>
  <c r="K166" i="54"/>
  <c r="J166" i="54"/>
  <c r="R250" i="33"/>
  <c r="R249" i="33"/>
  <c r="R248" i="33"/>
  <c r="R247" i="33"/>
  <c r="R246" i="33"/>
  <c r="R245" i="33"/>
  <c r="R244" i="33"/>
  <c r="R243" i="33"/>
  <c r="R242" i="33"/>
  <c r="I250" i="33"/>
  <c r="J261" i="33"/>
  <c r="I249" i="33"/>
  <c r="J260" i="33"/>
  <c r="I248" i="33"/>
  <c r="I247" i="33"/>
  <c r="I246" i="33"/>
  <c r="I245" i="33"/>
  <c r="J256" i="33"/>
  <c r="I244" i="33"/>
  <c r="I243" i="33"/>
  <c r="I242" i="33"/>
  <c r="E243" i="32"/>
  <c r="F243" i="32"/>
  <c r="H250" i="32"/>
  <c r="I250" i="32"/>
  <c r="J250" i="32"/>
  <c r="E250" i="32"/>
  <c r="F250" i="32"/>
  <c r="H249" i="32"/>
  <c r="I249" i="32"/>
  <c r="J249" i="32"/>
  <c r="E249" i="32"/>
  <c r="F249" i="32"/>
  <c r="H248" i="32"/>
  <c r="I248" i="32"/>
  <c r="J248" i="32"/>
  <c r="E248" i="32"/>
  <c r="F248" i="32"/>
  <c r="H247" i="32"/>
  <c r="I247" i="32"/>
  <c r="J247" i="32"/>
  <c r="E247" i="32"/>
  <c r="F247" i="32"/>
  <c r="H246" i="32"/>
  <c r="I246" i="32"/>
  <c r="J246" i="32"/>
  <c r="E246" i="32"/>
  <c r="F246" i="32"/>
  <c r="H245" i="32"/>
  <c r="I245" i="32"/>
  <c r="J245" i="32"/>
  <c r="E245" i="32"/>
  <c r="F245" i="32"/>
  <c r="H244" i="32"/>
  <c r="I244" i="32"/>
  <c r="J244" i="32"/>
  <c r="E244" i="32"/>
  <c r="F244" i="32"/>
  <c r="H243" i="32"/>
  <c r="I243" i="32"/>
  <c r="J243" i="32"/>
  <c r="H242" i="32"/>
  <c r="I242" i="32"/>
  <c r="J242" i="32"/>
  <c r="E242" i="32"/>
  <c r="F242" i="32"/>
  <c r="K123" i="31"/>
  <c r="K122" i="31"/>
  <c r="K121" i="31"/>
  <c r="K120" i="31"/>
  <c r="K119" i="31"/>
  <c r="K118" i="31"/>
  <c r="K117" i="31"/>
  <c r="K116" i="31"/>
  <c r="K113" i="31"/>
  <c r="K112" i="31"/>
  <c r="K90" i="31"/>
  <c r="K101" i="31"/>
  <c r="K102" i="31"/>
  <c r="J253" i="33"/>
  <c r="J257" i="33"/>
  <c r="J254" i="33"/>
  <c r="J258" i="33"/>
  <c r="J255" i="33"/>
  <c r="J259" i="33"/>
  <c r="P175" i="54"/>
  <c r="R175" i="54"/>
  <c r="P174" i="54"/>
  <c r="R174" i="54"/>
  <c r="P171" i="54"/>
  <c r="R171" i="54"/>
  <c r="F170" i="52"/>
  <c r="G170" i="52"/>
  <c r="P173" i="54"/>
  <c r="R173" i="54"/>
  <c r="P169" i="54"/>
  <c r="R169" i="54"/>
  <c r="F168" i="52"/>
  <c r="G168" i="52" s="1"/>
  <c r="P166" i="54"/>
  <c r="R166" i="54"/>
  <c r="F165" i="52"/>
  <c r="G165" i="52" s="1"/>
  <c r="P167" i="54"/>
  <c r="R167" i="54"/>
  <c r="F166" i="52"/>
  <c r="H166" i="52" s="1"/>
  <c r="I166" i="52" s="1"/>
  <c r="P177" i="54"/>
  <c r="R177" i="54"/>
  <c r="P168" i="54"/>
  <c r="R168" i="54"/>
  <c r="F167" i="52"/>
  <c r="H167" i="52" s="1"/>
  <c r="I167" i="52" s="1"/>
  <c r="P176" i="54"/>
  <c r="R176" i="54"/>
  <c r="P170" i="54"/>
  <c r="R170" i="54"/>
  <c r="F169" i="52"/>
  <c r="G169" i="52" s="1"/>
  <c r="P172" i="54"/>
  <c r="R172" i="54"/>
  <c r="K243" i="32"/>
  <c r="L255" i="32"/>
  <c r="K247" i="32"/>
  <c r="L259" i="32"/>
  <c r="K242" i="32"/>
  <c r="L254" i="32"/>
  <c r="K246" i="32"/>
  <c r="L258" i="32"/>
  <c r="K250" i="32"/>
  <c r="L262" i="32"/>
  <c r="K245" i="32"/>
  <c r="L257" i="32"/>
  <c r="K249" i="32"/>
  <c r="L261" i="32"/>
  <c r="K244" i="32"/>
  <c r="L256" i="32"/>
  <c r="K248" i="32"/>
  <c r="L260" i="32"/>
  <c r="I240" i="33"/>
  <c r="H165" i="52"/>
  <c r="I165" i="52" s="1"/>
  <c r="N16" i="31"/>
  <c r="Y230" i="33"/>
  <c r="Q165" i="54"/>
  <c r="L165" i="54"/>
  <c r="K165" i="54"/>
  <c r="J165" i="54"/>
  <c r="Q164" i="54"/>
  <c r="L164" i="54"/>
  <c r="K164" i="54"/>
  <c r="J164" i="54"/>
  <c r="Q163" i="54"/>
  <c r="L163" i="54"/>
  <c r="K163" i="54"/>
  <c r="J163" i="54"/>
  <c r="Q162" i="54"/>
  <c r="L162" i="54"/>
  <c r="K162" i="54"/>
  <c r="J162" i="54"/>
  <c r="Q161" i="54"/>
  <c r="L161" i="54"/>
  <c r="K161" i="54"/>
  <c r="J161" i="54"/>
  <c r="Q160" i="54"/>
  <c r="L160" i="54"/>
  <c r="K160" i="54"/>
  <c r="J160" i="54"/>
  <c r="Q159" i="54"/>
  <c r="L159" i="54"/>
  <c r="K159" i="54"/>
  <c r="J159" i="54"/>
  <c r="Q158" i="54"/>
  <c r="L158" i="54"/>
  <c r="K158" i="54"/>
  <c r="J158" i="54"/>
  <c r="Q157" i="54"/>
  <c r="L157" i="54"/>
  <c r="K157" i="54"/>
  <c r="J157" i="54"/>
  <c r="Q156" i="54"/>
  <c r="L156" i="54"/>
  <c r="K156" i="54"/>
  <c r="J156" i="54"/>
  <c r="Q155" i="54"/>
  <c r="L155" i="54"/>
  <c r="K155" i="54"/>
  <c r="J155" i="54"/>
  <c r="Q154" i="54"/>
  <c r="L154" i="54"/>
  <c r="K154" i="54"/>
  <c r="J154" i="54"/>
  <c r="R241" i="33"/>
  <c r="I241" i="33"/>
  <c r="R240" i="33"/>
  <c r="R239" i="33"/>
  <c r="I239" i="33"/>
  <c r="R238" i="33"/>
  <c r="I238" i="33"/>
  <c r="R237" i="33"/>
  <c r="I237" i="33"/>
  <c r="R236" i="33"/>
  <c r="I236" i="33"/>
  <c r="R235" i="33"/>
  <c r="I235" i="33"/>
  <c r="R234" i="33"/>
  <c r="I234" i="33"/>
  <c r="R233" i="33"/>
  <c r="I233" i="33"/>
  <c r="R232" i="33"/>
  <c r="I232" i="33"/>
  <c r="R231" i="33"/>
  <c r="I231" i="33"/>
  <c r="R230" i="33"/>
  <c r="I230" i="33"/>
  <c r="H241" i="32"/>
  <c r="I241" i="32"/>
  <c r="J241" i="32"/>
  <c r="E241" i="32"/>
  <c r="F241" i="32"/>
  <c r="H240" i="32"/>
  <c r="I240" i="32"/>
  <c r="J240" i="32"/>
  <c r="E240" i="32"/>
  <c r="F240" i="32"/>
  <c r="H239" i="32"/>
  <c r="I239" i="32"/>
  <c r="J239" i="32"/>
  <c r="E239" i="32"/>
  <c r="F239" i="32"/>
  <c r="H238" i="32"/>
  <c r="I238" i="32"/>
  <c r="J238" i="32"/>
  <c r="E238" i="32"/>
  <c r="F238" i="32"/>
  <c r="H237" i="32"/>
  <c r="I237" i="32"/>
  <c r="J237" i="32"/>
  <c r="E237" i="32"/>
  <c r="F237" i="32"/>
  <c r="H236" i="32"/>
  <c r="I236" i="32"/>
  <c r="J236" i="32"/>
  <c r="E236" i="32"/>
  <c r="F236" i="32"/>
  <c r="H235" i="32"/>
  <c r="I235" i="32"/>
  <c r="J235" i="32"/>
  <c r="E235" i="32"/>
  <c r="F235" i="32"/>
  <c r="H234" i="32"/>
  <c r="I234" i="32"/>
  <c r="J234" i="32"/>
  <c r="E234" i="32"/>
  <c r="F234" i="32"/>
  <c r="H233" i="32"/>
  <c r="I233" i="32"/>
  <c r="J233" i="32"/>
  <c r="E233" i="32"/>
  <c r="F233" i="32"/>
  <c r="H232" i="32"/>
  <c r="I232" i="32"/>
  <c r="J232" i="32"/>
  <c r="E232" i="32"/>
  <c r="F232" i="32"/>
  <c r="H231" i="32"/>
  <c r="I231" i="32"/>
  <c r="J231" i="32"/>
  <c r="E231" i="32"/>
  <c r="F231" i="32"/>
  <c r="H230" i="32"/>
  <c r="I230" i="32"/>
  <c r="J230" i="32"/>
  <c r="E230" i="32"/>
  <c r="F230" i="32"/>
  <c r="N111" i="31"/>
  <c r="K111" i="31"/>
  <c r="N110" i="31"/>
  <c r="K110" i="31"/>
  <c r="N109" i="31"/>
  <c r="K109" i="31"/>
  <c r="N108" i="31"/>
  <c r="K108" i="31"/>
  <c r="N107" i="31"/>
  <c r="K107" i="31"/>
  <c r="N106" i="31"/>
  <c r="K106" i="31"/>
  <c r="N105" i="31"/>
  <c r="K105" i="31"/>
  <c r="N104" i="31"/>
  <c r="K104" i="31"/>
  <c r="N103" i="31"/>
  <c r="K103" i="31"/>
  <c r="N101" i="31"/>
  <c r="N100" i="31"/>
  <c r="K100" i="31"/>
  <c r="J252" i="33"/>
  <c r="J251" i="33"/>
  <c r="J242" i="33"/>
  <c r="J244" i="33"/>
  <c r="J246" i="33"/>
  <c r="J248" i="33"/>
  <c r="J250" i="33"/>
  <c r="J243" i="33"/>
  <c r="J245" i="33"/>
  <c r="J247" i="33"/>
  <c r="J249" i="33"/>
  <c r="P154" i="54"/>
  <c r="R154" i="54"/>
  <c r="P155" i="54"/>
  <c r="R155" i="54"/>
  <c r="P156" i="54"/>
  <c r="R156" i="54"/>
  <c r="P157" i="54"/>
  <c r="R157" i="54"/>
  <c r="P158" i="54"/>
  <c r="R158" i="54"/>
  <c r="P159" i="54"/>
  <c r="R159" i="54"/>
  <c r="P160" i="54"/>
  <c r="R160" i="54"/>
  <c r="P161" i="54"/>
  <c r="R161" i="54"/>
  <c r="P162" i="54"/>
  <c r="R162" i="54"/>
  <c r="P163" i="54"/>
  <c r="R163" i="54"/>
  <c r="P164" i="54"/>
  <c r="R164" i="54"/>
  <c r="P165" i="54"/>
  <c r="R165" i="54"/>
  <c r="J241" i="33"/>
  <c r="K240" i="32"/>
  <c r="L252" i="32"/>
  <c r="K241" i="32"/>
  <c r="L253" i="32"/>
  <c r="K230" i="32"/>
  <c r="L242" i="32"/>
  <c r="K231" i="32"/>
  <c r="L243" i="32"/>
  <c r="K232" i="32"/>
  <c r="L244" i="32"/>
  <c r="K233" i="32"/>
  <c r="L245" i="32"/>
  <c r="K234" i="32"/>
  <c r="L246" i="32"/>
  <c r="K235" i="32"/>
  <c r="L247" i="32"/>
  <c r="K236" i="32"/>
  <c r="L248" i="32"/>
  <c r="K237" i="32"/>
  <c r="L249" i="32"/>
  <c r="K238" i="32"/>
  <c r="L250" i="32"/>
  <c r="K239" i="32"/>
  <c r="L251" i="32"/>
  <c r="Y227" i="33"/>
  <c r="F163" i="52"/>
  <c r="H163" i="52" s="1"/>
  <c r="I163" i="52" s="1"/>
  <c r="F161" i="52"/>
  <c r="H161" i="52"/>
  <c r="I161" i="52"/>
  <c r="F159" i="52"/>
  <c r="G159" i="52" s="1"/>
  <c r="F157" i="52"/>
  <c r="H157" i="52" s="1"/>
  <c r="I157" i="52" s="1"/>
  <c r="G157" i="52"/>
  <c r="F155" i="52"/>
  <c r="H155" i="52" s="1"/>
  <c r="I155" i="52" s="1"/>
  <c r="F153" i="52"/>
  <c r="H153" i="52" s="1"/>
  <c r="I153" i="52" s="1"/>
  <c r="F164" i="52"/>
  <c r="H164" i="52" s="1"/>
  <c r="I164" i="52" s="1"/>
  <c r="F162" i="52"/>
  <c r="H162" i="52"/>
  <c r="I162" i="52" s="1"/>
  <c r="F160" i="52"/>
  <c r="H160" i="52" s="1"/>
  <c r="I160" i="52" s="1"/>
  <c r="F158" i="52"/>
  <c r="G158" i="52" s="1"/>
  <c r="F156" i="52"/>
  <c r="H156" i="52" s="1"/>
  <c r="I156" i="52" s="1"/>
  <c r="F154" i="52"/>
  <c r="H154" i="52" s="1"/>
  <c r="I154" i="52" s="1"/>
  <c r="G164" i="52"/>
  <c r="G154" i="52"/>
  <c r="H159" i="52"/>
  <c r="I159" i="52"/>
  <c r="Y226" i="33"/>
  <c r="I223" i="33"/>
  <c r="N94" i="31"/>
  <c r="N90" i="31"/>
  <c r="N92" i="31"/>
  <c r="K92" i="31"/>
  <c r="K85" i="31"/>
  <c r="N91" i="31"/>
  <c r="K91" i="31"/>
  <c r="R220" i="33"/>
  <c r="I220" i="33"/>
  <c r="E220" i="32"/>
  <c r="F220" i="32"/>
  <c r="K87" i="31"/>
  <c r="K88" i="31"/>
  <c r="K89" i="31"/>
  <c r="K53" i="31"/>
  <c r="K54" i="31"/>
  <c r="K55" i="31"/>
  <c r="K56" i="31"/>
  <c r="K57" i="31"/>
  <c r="K58" i="31"/>
  <c r="K59" i="31"/>
  <c r="K60" i="31"/>
  <c r="K61" i="31"/>
  <c r="K62" i="31"/>
  <c r="K63" i="31"/>
  <c r="K64" i="31"/>
  <c r="K65" i="31"/>
  <c r="K66" i="31"/>
  <c r="K67" i="31"/>
  <c r="K68" i="31"/>
  <c r="K69" i="31"/>
  <c r="K70" i="31"/>
  <c r="K71" i="31"/>
  <c r="K72" i="31"/>
  <c r="K73" i="31"/>
  <c r="K74" i="31"/>
  <c r="K75" i="31"/>
  <c r="K76" i="31"/>
  <c r="K77" i="31"/>
  <c r="K78" i="31"/>
  <c r="K79" i="31"/>
  <c r="K80" i="31"/>
  <c r="K81" i="31"/>
  <c r="K82" i="31"/>
  <c r="K83" i="31"/>
  <c r="K84" i="31"/>
  <c r="K86" i="31"/>
  <c r="N61" i="31"/>
  <c r="N62" i="31"/>
  <c r="N63" i="31"/>
  <c r="N64" i="31"/>
  <c r="N65" i="31"/>
  <c r="N66" i="31"/>
  <c r="N67" i="31"/>
  <c r="N68" i="31"/>
  <c r="N69" i="31"/>
  <c r="N70" i="31"/>
  <c r="N71" i="31"/>
  <c r="N72" i="31"/>
  <c r="N73" i="31"/>
  <c r="N74" i="31"/>
  <c r="N75" i="31"/>
  <c r="N76" i="31"/>
  <c r="N77" i="31"/>
  <c r="N78" i="31"/>
  <c r="N79" i="31"/>
  <c r="N80" i="31"/>
  <c r="N81" i="31"/>
  <c r="N82" i="31"/>
  <c r="N83" i="31"/>
  <c r="N84" i="31"/>
  <c r="N85" i="31"/>
  <c r="N86" i="31"/>
  <c r="N87" i="31"/>
  <c r="N88" i="31"/>
  <c r="N89" i="31"/>
  <c r="R219" i="33"/>
  <c r="I219" i="33"/>
  <c r="R229" i="33"/>
  <c r="I229" i="33"/>
  <c r="J240" i="33"/>
  <c r="R228" i="33"/>
  <c r="I228" i="33"/>
  <c r="R227" i="33"/>
  <c r="I227" i="33"/>
  <c r="R226" i="33"/>
  <c r="I226" i="33"/>
  <c r="R225" i="33"/>
  <c r="I225" i="33"/>
  <c r="R224" i="33"/>
  <c r="I224" i="33"/>
  <c r="R223" i="33"/>
  <c r="R222" i="33"/>
  <c r="I222" i="33"/>
  <c r="R221" i="33"/>
  <c r="I221" i="33"/>
  <c r="R218" i="33"/>
  <c r="I218" i="33"/>
  <c r="H229" i="32"/>
  <c r="I229" i="32"/>
  <c r="J229" i="32"/>
  <c r="E229" i="32"/>
  <c r="F229" i="32"/>
  <c r="H228" i="32"/>
  <c r="I228" i="32"/>
  <c r="J228" i="32"/>
  <c r="E228" i="32"/>
  <c r="F228" i="32"/>
  <c r="H227" i="32"/>
  <c r="I227" i="32"/>
  <c r="J227" i="32"/>
  <c r="E227" i="32"/>
  <c r="F227" i="32"/>
  <c r="H226" i="32"/>
  <c r="I226" i="32"/>
  <c r="J226" i="32"/>
  <c r="E226" i="32"/>
  <c r="F226" i="32"/>
  <c r="H225" i="32"/>
  <c r="I225" i="32"/>
  <c r="J225" i="32"/>
  <c r="E225" i="32"/>
  <c r="F225" i="32"/>
  <c r="H224" i="32"/>
  <c r="I224" i="32"/>
  <c r="J224" i="32"/>
  <c r="E224" i="32"/>
  <c r="F224" i="32"/>
  <c r="H223" i="32"/>
  <c r="I223" i="32"/>
  <c r="J223" i="32"/>
  <c r="E223" i="32"/>
  <c r="F223" i="32"/>
  <c r="H222" i="32"/>
  <c r="I222" i="32"/>
  <c r="J222" i="32"/>
  <c r="E222" i="32"/>
  <c r="F222" i="32"/>
  <c r="H221" i="32"/>
  <c r="I221" i="32"/>
  <c r="J221" i="32"/>
  <c r="E221" i="32"/>
  <c r="F221" i="32"/>
  <c r="H220" i="32"/>
  <c r="I220" i="32"/>
  <c r="J220" i="32"/>
  <c r="K220" i="32"/>
  <c r="L232" i="32"/>
  <c r="H219" i="32"/>
  <c r="I219" i="32"/>
  <c r="J219" i="32"/>
  <c r="E219" i="32"/>
  <c r="F219" i="32"/>
  <c r="H218" i="32"/>
  <c r="I218" i="32"/>
  <c r="J218" i="32"/>
  <c r="E218" i="32"/>
  <c r="F218" i="32"/>
  <c r="N99" i="31"/>
  <c r="K99" i="31"/>
  <c r="N98" i="31"/>
  <c r="K98" i="31"/>
  <c r="N97" i="31"/>
  <c r="K97" i="31"/>
  <c r="N96" i="31"/>
  <c r="K96" i="31"/>
  <c r="N95" i="31"/>
  <c r="K95" i="31"/>
  <c r="K94" i="31"/>
  <c r="N93" i="31"/>
  <c r="K93" i="31"/>
  <c r="Q153" i="54"/>
  <c r="L153" i="54"/>
  <c r="K153" i="54"/>
  <c r="J153" i="54"/>
  <c r="Q152" i="54"/>
  <c r="L152" i="54"/>
  <c r="K152" i="54"/>
  <c r="J152" i="54"/>
  <c r="Q151" i="54"/>
  <c r="L151" i="54"/>
  <c r="K151" i="54"/>
  <c r="J151" i="54"/>
  <c r="Q150" i="54"/>
  <c r="L150" i="54"/>
  <c r="K150" i="54"/>
  <c r="J150" i="54"/>
  <c r="Q149" i="54"/>
  <c r="L149" i="54"/>
  <c r="K149" i="54"/>
  <c r="J149" i="54"/>
  <c r="Q148" i="54"/>
  <c r="L148" i="54"/>
  <c r="K148" i="54"/>
  <c r="J148" i="54"/>
  <c r="Q147" i="54"/>
  <c r="L147" i="54"/>
  <c r="K147" i="54"/>
  <c r="J147" i="54"/>
  <c r="Q146" i="54"/>
  <c r="L146" i="54"/>
  <c r="K146" i="54"/>
  <c r="J146" i="54"/>
  <c r="Q145" i="54"/>
  <c r="L145" i="54"/>
  <c r="K145" i="54"/>
  <c r="J145" i="54"/>
  <c r="Q144" i="54"/>
  <c r="L144" i="54"/>
  <c r="K144" i="54"/>
  <c r="J144" i="54"/>
  <c r="Q143" i="54"/>
  <c r="L143" i="54"/>
  <c r="K143" i="54"/>
  <c r="J143" i="54"/>
  <c r="Q142" i="54"/>
  <c r="L142" i="54"/>
  <c r="K142" i="54"/>
  <c r="J142" i="54"/>
  <c r="J239" i="33"/>
  <c r="J238" i="33"/>
  <c r="J236" i="33"/>
  <c r="J231" i="33"/>
  <c r="J237" i="33"/>
  <c r="J234" i="33"/>
  <c r="J235" i="33"/>
  <c r="J233" i="33"/>
  <c r="J232" i="33"/>
  <c r="J230" i="33"/>
  <c r="P142" i="54"/>
  <c r="R142" i="54"/>
  <c r="F141" i="52"/>
  <c r="G141" i="52"/>
  <c r="P143" i="54"/>
  <c r="R143" i="54"/>
  <c r="F142" i="52"/>
  <c r="G142" i="52"/>
  <c r="P144" i="54"/>
  <c r="R144" i="54"/>
  <c r="F143" i="52"/>
  <c r="G143" i="52"/>
  <c r="P145" i="54"/>
  <c r="R145" i="54"/>
  <c r="F144" i="52"/>
  <c r="H144" i="52"/>
  <c r="I144" i="52" s="1"/>
  <c r="P146" i="54"/>
  <c r="R146" i="54"/>
  <c r="F145" i="52"/>
  <c r="H145" i="52"/>
  <c r="I145" i="52" s="1"/>
  <c r="P148" i="54"/>
  <c r="R148" i="54"/>
  <c r="F147" i="52"/>
  <c r="G147" i="52" s="1"/>
  <c r="P149" i="54"/>
  <c r="R149" i="54"/>
  <c r="F148" i="52"/>
  <c r="G148" i="52" s="1"/>
  <c r="P150" i="54"/>
  <c r="R150" i="54"/>
  <c r="F149" i="52"/>
  <c r="G149" i="52" s="1"/>
  <c r="P151" i="54"/>
  <c r="R151" i="54"/>
  <c r="F150" i="52"/>
  <c r="H150" i="52" s="1"/>
  <c r="I150" i="52" s="1"/>
  <c r="P152" i="54"/>
  <c r="R152" i="54"/>
  <c r="F151" i="52"/>
  <c r="H151" i="52" s="1"/>
  <c r="I151" i="52" s="1"/>
  <c r="J229" i="33"/>
  <c r="K218" i="32"/>
  <c r="L230" i="32"/>
  <c r="K219" i="32"/>
  <c r="L231" i="32"/>
  <c r="K221" i="32"/>
  <c r="L233" i="32"/>
  <c r="K222" i="32"/>
  <c r="L234" i="32"/>
  <c r="K223" i="32"/>
  <c r="L235" i="32"/>
  <c r="K224" i="32"/>
  <c r="L236" i="32"/>
  <c r="K225" i="32"/>
  <c r="L237" i="32"/>
  <c r="K226" i="32"/>
  <c r="L238" i="32"/>
  <c r="K227" i="32"/>
  <c r="L239" i="32"/>
  <c r="K228" i="32"/>
  <c r="L240" i="32"/>
  <c r="K229" i="32"/>
  <c r="L241" i="32"/>
  <c r="P147" i="54"/>
  <c r="R147" i="54"/>
  <c r="F146" i="52"/>
  <c r="H146" i="52" s="1"/>
  <c r="I146" i="52" s="1"/>
  <c r="P153" i="54"/>
  <c r="R153" i="54"/>
  <c r="F152" i="52"/>
  <c r="H152" i="52" s="1"/>
  <c r="I152" i="52" s="1"/>
  <c r="G152" i="52"/>
  <c r="R215" i="33"/>
  <c r="R216" i="33"/>
  <c r="R217" i="33"/>
  <c r="I213" i="33"/>
  <c r="I214" i="33"/>
  <c r="I215" i="33"/>
  <c r="I216" i="33"/>
  <c r="I217" i="33"/>
  <c r="J224" i="33"/>
  <c r="H143" i="52"/>
  <c r="I143" i="52" s="1"/>
  <c r="G145" i="52"/>
  <c r="G146" i="52"/>
  <c r="J225" i="33"/>
  <c r="J226" i="33"/>
  <c r="J227" i="33"/>
  <c r="J228" i="33"/>
  <c r="E216" i="32"/>
  <c r="F216" i="32"/>
  <c r="E217" i="32"/>
  <c r="F217" i="32"/>
  <c r="H216" i="32"/>
  <c r="I216" i="32"/>
  <c r="J216" i="32"/>
  <c r="H217" i="32"/>
  <c r="I217" i="32"/>
  <c r="J217" i="32"/>
  <c r="K216" i="32"/>
  <c r="L228" i="32"/>
  <c r="K217" i="32"/>
  <c r="L229" i="32"/>
  <c r="R214" i="33"/>
  <c r="R206" i="33"/>
  <c r="R213" i="33"/>
  <c r="H213" i="32"/>
  <c r="I213" i="32"/>
  <c r="J213" i="32"/>
  <c r="E213" i="32"/>
  <c r="F213" i="32"/>
  <c r="K213" i="32"/>
  <c r="L225" i="32"/>
  <c r="R212" i="33"/>
  <c r="I212" i="33"/>
  <c r="J223" i="33"/>
  <c r="J133" i="54"/>
  <c r="K133" i="54"/>
  <c r="L133" i="54"/>
  <c r="Q133" i="54"/>
  <c r="J134" i="54"/>
  <c r="K134" i="54"/>
  <c r="L134" i="54"/>
  <c r="Q134" i="54"/>
  <c r="J135" i="54"/>
  <c r="K135" i="54"/>
  <c r="L135" i="54"/>
  <c r="Q135" i="54"/>
  <c r="J136" i="54"/>
  <c r="K136" i="54"/>
  <c r="L136" i="54"/>
  <c r="Q136" i="54"/>
  <c r="J137" i="54"/>
  <c r="K137" i="54"/>
  <c r="L137" i="54"/>
  <c r="Q137" i="54"/>
  <c r="J138" i="54"/>
  <c r="K138" i="54"/>
  <c r="L138" i="54"/>
  <c r="Q138" i="54"/>
  <c r="J139" i="54"/>
  <c r="K139" i="54"/>
  <c r="L139" i="54"/>
  <c r="Q139" i="54"/>
  <c r="J140" i="54"/>
  <c r="K140" i="54"/>
  <c r="L140" i="54"/>
  <c r="Q140" i="54"/>
  <c r="J141" i="54"/>
  <c r="K141" i="54"/>
  <c r="L141" i="54"/>
  <c r="Q141" i="54"/>
  <c r="R211" i="33"/>
  <c r="I211" i="33"/>
  <c r="J222" i="33"/>
  <c r="P140" i="54"/>
  <c r="R140" i="54"/>
  <c r="F139" i="52"/>
  <c r="G139" i="52" s="1"/>
  <c r="P141" i="54"/>
  <c r="R141" i="54"/>
  <c r="F140" i="52"/>
  <c r="G140" i="52"/>
  <c r="P139" i="54"/>
  <c r="R139" i="54"/>
  <c r="F138" i="52"/>
  <c r="G138" i="52"/>
  <c r="P137" i="54"/>
  <c r="R137" i="54"/>
  <c r="F136" i="52"/>
  <c r="H136" i="52"/>
  <c r="I136" i="52" s="1"/>
  <c r="P135" i="54"/>
  <c r="R135" i="54"/>
  <c r="F134" i="52"/>
  <c r="H134" i="52" s="1"/>
  <c r="I134" i="52" s="1"/>
  <c r="P134" i="54"/>
  <c r="R134" i="54"/>
  <c r="F133" i="52"/>
  <c r="P133" i="54"/>
  <c r="R133" i="54"/>
  <c r="F132" i="52"/>
  <c r="G132" i="52"/>
  <c r="P138" i="54"/>
  <c r="R138" i="54"/>
  <c r="F137" i="52"/>
  <c r="G137" i="52"/>
  <c r="P136" i="54"/>
  <c r="R136" i="54"/>
  <c r="F135" i="52"/>
  <c r="R209" i="33"/>
  <c r="R210" i="33"/>
  <c r="I210" i="33"/>
  <c r="J221" i="33"/>
  <c r="I209" i="33"/>
  <c r="J220" i="33"/>
  <c r="H139" i="52"/>
  <c r="I139" i="52" s="1"/>
  <c r="J131" i="54"/>
  <c r="K131" i="54"/>
  <c r="L131" i="54"/>
  <c r="Q131" i="54"/>
  <c r="J132" i="54"/>
  <c r="K132" i="54"/>
  <c r="L132" i="54"/>
  <c r="Q132" i="54"/>
  <c r="P132" i="54"/>
  <c r="R132" i="54"/>
  <c r="F131" i="52"/>
  <c r="G131" i="52" s="1"/>
  <c r="P131" i="54"/>
  <c r="R131" i="54"/>
  <c r="F130" i="52"/>
  <c r="G130" i="52"/>
  <c r="R208" i="33"/>
  <c r="I208" i="33"/>
  <c r="J219" i="33"/>
  <c r="E208" i="32"/>
  <c r="F208" i="32"/>
  <c r="R207" i="33"/>
  <c r="I207" i="33"/>
  <c r="J218" i="33"/>
  <c r="H207" i="32"/>
  <c r="I207" i="32"/>
  <c r="J207" i="32"/>
  <c r="H208" i="32"/>
  <c r="I208" i="32"/>
  <c r="J208" i="32"/>
  <c r="K208" i="32"/>
  <c r="L220" i="32"/>
  <c r="H209" i="32"/>
  <c r="I209" i="32"/>
  <c r="J209" i="32"/>
  <c r="H210" i="32"/>
  <c r="I210" i="32"/>
  <c r="J210" i="32"/>
  <c r="H211" i="32"/>
  <c r="I211" i="32"/>
  <c r="J211" i="32"/>
  <c r="H212" i="32"/>
  <c r="I212" i="32"/>
  <c r="J212" i="32"/>
  <c r="H214" i="32"/>
  <c r="I214" i="32"/>
  <c r="J214" i="32"/>
  <c r="H215" i="32"/>
  <c r="I215" i="32"/>
  <c r="J215" i="32"/>
  <c r="E207" i="32"/>
  <c r="F207" i="32"/>
  <c r="E209" i="32"/>
  <c r="F209" i="32"/>
  <c r="E210" i="32"/>
  <c r="F210" i="32"/>
  <c r="E211" i="32"/>
  <c r="F211" i="32"/>
  <c r="E212" i="32"/>
  <c r="F212" i="32"/>
  <c r="E214" i="32"/>
  <c r="F214" i="32"/>
  <c r="E215" i="32"/>
  <c r="F215" i="32"/>
  <c r="J130" i="54"/>
  <c r="K130" i="54"/>
  <c r="L130" i="54"/>
  <c r="Q130" i="54"/>
  <c r="H132" i="52"/>
  <c r="I132" i="52"/>
  <c r="G133" i="52"/>
  <c r="H133" i="52"/>
  <c r="I133" i="52"/>
  <c r="G134" i="52"/>
  <c r="G135" i="52"/>
  <c r="H135" i="52"/>
  <c r="I135" i="52" s="1"/>
  <c r="G136" i="52"/>
  <c r="P130" i="54"/>
  <c r="R130" i="54"/>
  <c r="F129" i="52"/>
  <c r="H129" i="52" s="1"/>
  <c r="I129" i="52" s="1"/>
  <c r="G129" i="52"/>
  <c r="K212" i="32"/>
  <c r="L224" i="32"/>
  <c r="K215" i="32"/>
  <c r="L227" i="32"/>
  <c r="K214" i="32"/>
  <c r="L226" i="32"/>
  <c r="K209" i="32"/>
  <c r="L221" i="32"/>
  <c r="K207" i="32"/>
  <c r="L219" i="32"/>
  <c r="K211" i="32"/>
  <c r="L223" i="32"/>
  <c r="K210" i="32"/>
  <c r="L222" i="32"/>
  <c r="I206" i="33"/>
  <c r="J217" i="33"/>
  <c r="E206" i="32"/>
  <c r="F206" i="32"/>
  <c r="H206" i="32"/>
  <c r="I206" i="32"/>
  <c r="J206" i="32"/>
  <c r="K206" i="32"/>
  <c r="L218" i="32"/>
  <c r="E205" i="32"/>
  <c r="F205" i="32"/>
  <c r="H205" i="32"/>
  <c r="I205" i="32"/>
  <c r="J205" i="32"/>
  <c r="H204" i="32"/>
  <c r="I204" i="32"/>
  <c r="J204" i="32"/>
  <c r="E204" i="32"/>
  <c r="F204" i="32"/>
  <c r="H203" i="32"/>
  <c r="I203" i="32"/>
  <c r="J203" i="32"/>
  <c r="E203" i="32"/>
  <c r="F203" i="32"/>
  <c r="H202" i="32"/>
  <c r="I202" i="32"/>
  <c r="J202" i="32"/>
  <c r="E202" i="32"/>
  <c r="F202" i="32"/>
  <c r="H201" i="32"/>
  <c r="I201" i="32"/>
  <c r="J201" i="32"/>
  <c r="E201" i="32"/>
  <c r="F201" i="32"/>
  <c r="H200" i="32"/>
  <c r="I200" i="32"/>
  <c r="J200" i="32"/>
  <c r="E200" i="32"/>
  <c r="F200" i="32"/>
  <c r="H199" i="32"/>
  <c r="I199" i="32"/>
  <c r="J199" i="32"/>
  <c r="E199" i="32"/>
  <c r="F199" i="32"/>
  <c r="H198" i="32"/>
  <c r="I198" i="32"/>
  <c r="J198" i="32"/>
  <c r="E198" i="32"/>
  <c r="F198" i="32"/>
  <c r="H197" i="32"/>
  <c r="I197" i="32"/>
  <c r="J197" i="32"/>
  <c r="E197" i="32"/>
  <c r="F197" i="32"/>
  <c r="H196" i="32"/>
  <c r="I196" i="32"/>
  <c r="J196" i="32"/>
  <c r="E196" i="32"/>
  <c r="F196" i="32"/>
  <c r="H195" i="32"/>
  <c r="I195" i="32"/>
  <c r="J195" i="32"/>
  <c r="E195" i="32"/>
  <c r="F195" i="32"/>
  <c r="H194" i="32"/>
  <c r="I194" i="32"/>
  <c r="J194" i="32"/>
  <c r="E194" i="32"/>
  <c r="F194" i="32"/>
  <c r="H193" i="32"/>
  <c r="I193" i="32"/>
  <c r="J193" i="32"/>
  <c r="E193" i="32"/>
  <c r="F193" i="32"/>
  <c r="H192" i="32"/>
  <c r="I192" i="32"/>
  <c r="J192" i="32"/>
  <c r="E192" i="32"/>
  <c r="F192" i="32"/>
  <c r="H191" i="32"/>
  <c r="I191" i="32"/>
  <c r="J191" i="32"/>
  <c r="E191" i="32"/>
  <c r="F191" i="32"/>
  <c r="H190" i="32"/>
  <c r="I190" i="32"/>
  <c r="J190" i="32"/>
  <c r="E190" i="32"/>
  <c r="F190" i="32"/>
  <c r="H189" i="32"/>
  <c r="I189" i="32"/>
  <c r="J189" i="32"/>
  <c r="E189" i="32"/>
  <c r="F189" i="32"/>
  <c r="H188" i="32"/>
  <c r="I188" i="32"/>
  <c r="J188" i="32"/>
  <c r="E188" i="32"/>
  <c r="F188" i="32"/>
  <c r="H187" i="32"/>
  <c r="I187" i="32"/>
  <c r="J187" i="32"/>
  <c r="E187" i="32"/>
  <c r="F187" i="32"/>
  <c r="H186" i="32"/>
  <c r="I186" i="32"/>
  <c r="J186" i="32"/>
  <c r="E186" i="32"/>
  <c r="F186" i="32"/>
  <c r="H185" i="32"/>
  <c r="I185" i="32"/>
  <c r="J185" i="32"/>
  <c r="E185" i="32"/>
  <c r="F185" i="32"/>
  <c r="H184" i="32"/>
  <c r="I184" i="32"/>
  <c r="J184" i="32"/>
  <c r="E184" i="32"/>
  <c r="F184" i="32"/>
  <c r="H183" i="32"/>
  <c r="I183" i="32"/>
  <c r="J183" i="32"/>
  <c r="E183" i="32"/>
  <c r="F183" i="32"/>
  <c r="H182" i="32"/>
  <c r="I182" i="32"/>
  <c r="J182" i="32"/>
  <c r="E182" i="32"/>
  <c r="F182" i="32"/>
  <c r="H181" i="32"/>
  <c r="I181" i="32"/>
  <c r="J181" i="32"/>
  <c r="E181" i="32"/>
  <c r="F181" i="32"/>
  <c r="H180" i="32"/>
  <c r="I180" i="32"/>
  <c r="J180" i="32"/>
  <c r="E180" i="32"/>
  <c r="F180" i="32"/>
  <c r="H179" i="32"/>
  <c r="I179" i="32"/>
  <c r="J179" i="32"/>
  <c r="E179" i="32"/>
  <c r="F179" i="32"/>
  <c r="H178" i="32"/>
  <c r="I178" i="32"/>
  <c r="J178" i="32"/>
  <c r="E178" i="32"/>
  <c r="F178" i="32"/>
  <c r="H177" i="32"/>
  <c r="I177" i="32"/>
  <c r="J177" i="32"/>
  <c r="E177" i="32"/>
  <c r="F177" i="32"/>
  <c r="H176" i="32"/>
  <c r="I176" i="32"/>
  <c r="J176" i="32"/>
  <c r="E176" i="32"/>
  <c r="F176" i="32"/>
  <c r="H175" i="32"/>
  <c r="I175" i="32"/>
  <c r="J175" i="32"/>
  <c r="E175" i="32"/>
  <c r="F175" i="32"/>
  <c r="H174" i="32"/>
  <c r="I174" i="32"/>
  <c r="J174" i="32"/>
  <c r="E174" i="32"/>
  <c r="F174" i="32"/>
  <c r="H173" i="32"/>
  <c r="I173" i="32"/>
  <c r="J173" i="32"/>
  <c r="E173" i="32"/>
  <c r="F173" i="32"/>
  <c r="H172" i="32"/>
  <c r="I172" i="32"/>
  <c r="J172" i="32"/>
  <c r="E172" i="32"/>
  <c r="F172" i="32"/>
  <c r="H171" i="32"/>
  <c r="I171" i="32"/>
  <c r="J171" i="32"/>
  <c r="E171" i="32"/>
  <c r="F171" i="32"/>
  <c r="H170" i="32"/>
  <c r="I170" i="32"/>
  <c r="J170" i="32"/>
  <c r="E170" i="32"/>
  <c r="F170" i="32"/>
  <c r="H169" i="32"/>
  <c r="I169" i="32"/>
  <c r="J169" i="32"/>
  <c r="E169" i="32"/>
  <c r="F169" i="32"/>
  <c r="H168" i="32"/>
  <c r="I168" i="32"/>
  <c r="J168" i="32"/>
  <c r="E168" i="32"/>
  <c r="F168" i="32"/>
  <c r="H167" i="32"/>
  <c r="I167" i="32"/>
  <c r="J167" i="32"/>
  <c r="E167" i="32"/>
  <c r="F167" i="32"/>
  <c r="H166" i="32"/>
  <c r="I166" i="32"/>
  <c r="J166" i="32"/>
  <c r="E166" i="32"/>
  <c r="F166" i="32"/>
  <c r="H165" i="32"/>
  <c r="I165" i="32"/>
  <c r="J165" i="32"/>
  <c r="E165" i="32"/>
  <c r="F165" i="32"/>
  <c r="H164" i="32"/>
  <c r="I164" i="32"/>
  <c r="J164" i="32"/>
  <c r="E164" i="32"/>
  <c r="F164" i="32"/>
  <c r="H163" i="32"/>
  <c r="I163" i="32"/>
  <c r="J163" i="32"/>
  <c r="E163" i="32"/>
  <c r="F163" i="32"/>
  <c r="H162" i="32"/>
  <c r="I162" i="32"/>
  <c r="J162" i="32"/>
  <c r="E162" i="32"/>
  <c r="F162" i="32"/>
  <c r="H161" i="32"/>
  <c r="I161" i="32"/>
  <c r="J161" i="32"/>
  <c r="E161" i="32"/>
  <c r="F161" i="32"/>
  <c r="H160" i="32"/>
  <c r="I160" i="32"/>
  <c r="J160" i="32"/>
  <c r="E160" i="32"/>
  <c r="F160" i="32"/>
  <c r="H159" i="32"/>
  <c r="I159" i="32"/>
  <c r="J159" i="32"/>
  <c r="E159" i="32"/>
  <c r="F159" i="32"/>
  <c r="H158" i="32"/>
  <c r="I158" i="32"/>
  <c r="J158" i="32"/>
  <c r="E158" i="32"/>
  <c r="F158" i="32"/>
  <c r="H157" i="32"/>
  <c r="I157" i="32"/>
  <c r="J157" i="32"/>
  <c r="E157" i="32"/>
  <c r="F157" i="32"/>
  <c r="H156" i="32"/>
  <c r="I156" i="32"/>
  <c r="J156" i="32"/>
  <c r="E156" i="32"/>
  <c r="F156" i="32"/>
  <c r="H155" i="32"/>
  <c r="I155" i="32"/>
  <c r="J155" i="32"/>
  <c r="E155" i="32"/>
  <c r="F155" i="32"/>
  <c r="H154" i="32"/>
  <c r="I154" i="32"/>
  <c r="J154" i="32"/>
  <c r="E154" i="32"/>
  <c r="F154" i="32"/>
  <c r="H153" i="32"/>
  <c r="I153" i="32"/>
  <c r="J153" i="32"/>
  <c r="E153" i="32"/>
  <c r="F153" i="32"/>
  <c r="H152" i="32"/>
  <c r="I152" i="32"/>
  <c r="J152" i="32"/>
  <c r="E152" i="32"/>
  <c r="F152" i="32"/>
  <c r="H151" i="32"/>
  <c r="I151" i="32"/>
  <c r="J151" i="32"/>
  <c r="E151" i="32"/>
  <c r="F151" i="32"/>
  <c r="H150" i="32"/>
  <c r="I150" i="32"/>
  <c r="J150" i="32"/>
  <c r="E150" i="32"/>
  <c r="F150" i="32"/>
  <c r="H149" i="32"/>
  <c r="I149" i="32"/>
  <c r="J149" i="32"/>
  <c r="E149" i="32"/>
  <c r="F149" i="32"/>
  <c r="H148" i="32"/>
  <c r="I148" i="32"/>
  <c r="J148" i="32"/>
  <c r="E148" i="32"/>
  <c r="F148" i="32"/>
  <c r="H147" i="32"/>
  <c r="I147" i="32"/>
  <c r="J147" i="32"/>
  <c r="E147" i="32"/>
  <c r="F147" i="32"/>
  <c r="H146" i="32"/>
  <c r="I146" i="32"/>
  <c r="J146" i="32"/>
  <c r="E146" i="32"/>
  <c r="F146" i="32"/>
  <c r="H145" i="32"/>
  <c r="I145" i="32"/>
  <c r="J145" i="32"/>
  <c r="E145" i="32"/>
  <c r="F145" i="32"/>
  <c r="H144" i="32"/>
  <c r="I144" i="32"/>
  <c r="J144" i="32"/>
  <c r="E144" i="32"/>
  <c r="F144" i="32"/>
  <c r="H143" i="32"/>
  <c r="I143" i="32"/>
  <c r="J143" i="32"/>
  <c r="E143" i="32"/>
  <c r="F143" i="32"/>
  <c r="H142" i="32"/>
  <c r="I142" i="32"/>
  <c r="J142" i="32"/>
  <c r="E142" i="32"/>
  <c r="F142" i="32"/>
  <c r="H141" i="32"/>
  <c r="I141" i="32"/>
  <c r="J141" i="32"/>
  <c r="E141" i="32"/>
  <c r="F141" i="32"/>
  <c r="H140" i="32"/>
  <c r="I140" i="32"/>
  <c r="J140" i="32"/>
  <c r="E140" i="32"/>
  <c r="F140" i="32"/>
  <c r="H139" i="32"/>
  <c r="I139" i="32"/>
  <c r="J139" i="32"/>
  <c r="E139" i="32"/>
  <c r="F139" i="32"/>
  <c r="H138" i="32"/>
  <c r="I138" i="32"/>
  <c r="J138" i="32"/>
  <c r="E138" i="32"/>
  <c r="F138" i="32"/>
  <c r="H137" i="32"/>
  <c r="I137" i="32"/>
  <c r="J137" i="32"/>
  <c r="E137" i="32"/>
  <c r="F137" i="32"/>
  <c r="H136" i="32"/>
  <c r="I136" i="32"/>
  <c r="J136" i="32"/>
  <c r="E136" i="32"/>
  <c r="F136" i="32"/>
  <c r="H135" i="32"/>
  <c r="I135" i="32"/>
  <c r="J135" i="32"/>
  <c r="E135" i="32"/>
  <c r="F135" i="32"/>
  <c r="H134" i="32"/>
  <c r="I134" i="32"/>
  <c r="J134" i="32"/>
  <c r="E134" i="32"/>
  <c r="F134" i="32"/>
  <c r="H133" i="32"/>
  <c r="I133" i="32"/>
  <c r="J133" i="32"/>
  <c r="E133" i="32"/>
  <c r="F133" i="32"/>
  <c r="H132" i="32"/>
  <c r="I132" i="32"/>
  <c r="J132" i="32"/>
  <c r="E132" i="32"/>
  <c r="F132" i="32"/>
  <c r="H131" i="32"/>
  <c r="I131" i="32"/>
  <c r="J131" i="32"/>
  <c r="E131" i="32"/>
  <c r="F131" i="32"/>
  <c r="H130" i="32"/>
  <c r="I130" i="32"/>
  <c r="J130" i="32"/>
  <c r="E130" i="32"/>
  <c r="F130" i="32"/>
  <c r="H129" i="32"/>
  <c r="I129" i="32"/>
  <c r="J129" i="32"/>
  <c r="E129" i="32"/>
  <c r="F129" i="32"/>
  <c r="H128" i="32"/>
  <c r="I128" i="32"/>
  <c r="J128" i="32"/>
  <c r="E128" i="32"/>
  <c r="F128" i="32"/>
  <c r="H127" i="32"/>
  <c r="I127" i="32"/>
  <c r="J127" i="32"/>
  <c r="E127" i="32"/>
  <c r="F127" i="32"/>
  <c r="H126" i="32"/>
  <c r="I126" i="32"/>
  <c r="J126" i="32"/>
  <c r="E126" i="32"/>
  <c r="F126" i="32"/>
  <c r="H125" i="32"/>
  <c r="I125" i="32"/>
  <c r="J125" i="32"/>
  <c r="E125" i="32"/>
  <c r="F125" i="32"/>
  <c r="H124" i="32"/>
  <c r="I124" i="32"/>
  <c r="J124" i="32"/>
  <c r="E124" i="32"/>
  <c r="F124" i="32"/>
  <c r="H123" i="32"/>
  <c r="I123" i="32"/>
  <c r="J123" i="32"/>
  <c r="E123" i="32"/>
  <c r="F123" i="32"/>
  <c r="H122" i="32"/>
  <c r="I122" i="32"/>
  <c r="J122" i="32"/>
  <c r="E122" i="32"/>
  <c r="F122" i="32"/>
  <c r="H121" i="32"/>
  <c r="I121" i="32"/>
  <c r="J121" i="32"/>
  <c r="E121" i="32"/>
  <c r="F121" i="32"/>
  <c r="H120" i="32"/>
  <c r="I120" i="32"/>
  <c r="J120" i="32"/>
  <c r="E120" i="32"/>
  <c r="F120" i="32"/>
  <c r="H119" i="32"/>
  <c r="I119" i="32"/>
  <c r="J119" i="32"/>
  <c r="E119" i="32"/>
  <c r="F119" i="32"/>
  <c r="H118" i="32"/>
  <c r="I118" i="32"/>
  <c r="J118" i="32"/>
  <c r="E118" i="32"/>
  <c r="F118" i="32"/>
  <c r="H117" i="32"/>
  <c r="I117" i="32"/>
  <c r="J117" i="32"/>
  <c r="E117" i="32"/>
  <c r="F117" i="32"/>
  <c r="H116" i="32"/>
  <c r="I116" i="32"/>
  <c r="J116" i="32"/>
  <c r="E116" i="32"/>
  <c r="F116" i="32"/>
  <c r="H115" i="32"/>
  <c r="I115" i="32"/>
  <c r="J115" i="32"/>
  <c r="E115" i="32"/>
  <c r="F115" i="32"/>
  <c r="H114" i="32"/>
  <c r="I114" i="32"/>
  <c r="J114" i="32"/>
  <c r="E114" i="32"/>
  <c r="F114" i="32"/>
  <c r="H113" i="32"/>
  <c r="I113" i="32"/>
  <c r="J113" i="32"/>
  <c r="E113" i="32"/>
  <c r="F113" i="32"/>
  <c r="H112" i="32"/>
  <c r="I112" i="32"/>
  <c r="J112" i="32"/>
  <c r="E112" i="32"/>
  <c r="F112" i="32"/>
  <c r="H111" i="32"/>
  <c r="I111" i="32"/>
  <c r="J111" i="32"/>
  <c r="E111" i="32"/>
  <c r="F111" i="32"/>
  <c r="H110" i="32"/>
  <c r="I110" i="32"/>
  <c r="J110" i="32"/>
  <c r="E110" i="32"/>
  <c r="F110" i="32"/>
  <c r="H109" i="32"/>
  <c r="I109" i="32"/>
  <c r="J109" i="32"/>
  <c r="E109" i="32"/>
  <c r="F109" i="32"/>
  <c r="H108" i="32"/>
  <c r="I108" i="32"/>
  <c r="J108" i="32"/>
  <c r="E108" i="32"/>
  <c r="F108" i="32"/>
  <c r="H107" i="32"/>
  <c r="I107" i="32"/>
  <c r="J107" i="32"/>
  <c r="E107" i="32"/>
  <c r="F107" i="32"/>
  <c r="H106" i="32"/>
  <c r="I106" i="32"/>
  <c r="J106" i="32"/>
  <c r="E106" i="32"/>
  <c r="F106" i="32"/>
  <c r="H105" i="32"/>
  <c r="I105" i="32"/>
  <c r="J105" i="32"/>
  <c r="E105" i="32"/>
  <c r="F105" i="32"/>
  <c r="H104" i="32"/>
  <c r="I104" i="32"/>
  <c r="J104" i="32"/>
  <c r="E104" i="32"/>
  <c r="F104" i="32"/>
  <c r="H103" i="32"/>
  <c r="I103" i="32"/>
  <c r="J103" i="32"/>
  <c r="E103" i="32"/>
  <c r="F103" i="32"/>
  <c r="H102" i="32"/>
  <c r="I102" i="32"/>
  <c r="J102" i="32"/>
  <c r="E102" i="32"/>
  <c r="F102" i="32"/>
  <c r="H101" i="32"/>
  <c r="I101" i="32"/>
  <c r="J101" i="32"/>
  <c r="E101" i="32"/>
  <c r="F101" i="32"/>
  <c r="H100" i="32"/>
  <c r="I100" i="32"/>
  <c r="J100" i="32"/>
  <c r="E100" i="32"/>
  <c r="F100" i="32"/>
  <c r="H99" i="32"/>
  <c r="I99" i="32"/>
  <c r="J99" i="32"/>
  <c r="E99" i="32"/>
  <c r="F99" i="32"/>
  <c r="H98" i="32"/>
  <c r="I98" i="32"/>
  <c r="J98" i="32"/>
  <c r="E98" i="32"/>
  <c r="F98" i="32"/>
  <c r="H97" i="32"/>
  <c r="I97" i="32"/>
  <c r="J97" i="32"/>
  <c r="E97" i="32"/>
  <c r="F97" i="32"/>
  <c r="H96" i="32"/>
  <c r="I96" i="32"/>
  <c r="J96" i="32"/>
  <c r="E96" i="32"/>
  <c r="F96" i="32"/>
  <c r="H95" i="32"/>
  <c r="I95" i="32"/>
  <c r="J95" i="32"/>
  <c r="E95" i="32"/>
  <c r="F95" i="32"/>
  <c r="H94" i="32"/>
  <c r="I94" i="32"/>
  <c r="J94" i="32"/>
  <c r="E94" i="32"/>
  <c r="F94" i="32"/>
  <c r="H93" i="32"/>
  <c r="I93" i="32"/>
  <c r="J93" i="32"/>
  <c r="E93" i="32"/>
  <c r="F93" i="32"/>
  <c r="H92" i="32"/>
  <c r="I92" i="32"/>
  <c r="J92" i="32"/>
  <c r="E92" i="32"/>
  <c r="F92" i="32"/>
  <c r="H91" i="32"/>
  <c r="I91" i="32"/>
  <c r="J91" i="32"/>
  <c r="E91" i="32"/>
  <c r="F91" i="32"/>
  <c r="H90" i="32"/>
  <c r="I90" i="32"/>
  <c r="J90" i="32"/>
  <c r="E90" i="32"/>
  <c r="F90" i="32"/>
  <c r="H89" i="32"/>
  <c r="I89" i="32"/>
  <c r="J89" i="32"/>
  <c r="E89" i="32"/>
  <c r="F89" i="32"/>
  <c r="H88" i="32"/>
  <c r="I88" i="32"/>
  <c r="J88" i="32"/>
  <c r="E88" i="32"/>
  <c r="F88" i="32"/>
  <c r="H87" i="32"/>
  <c r="I87" i="32"/>
  <c r="J87" i="32"/>
  <c r="E87" i="32"/>
  <c r="F87" i="32"/>
  <c r="H86" i="32"/>
  <c r="I86" i="32"/>
  <c r="J86" i="32"/>
  <c r="E86" i="32"/>
  <c r="F86" i="32"/>
  <c r="H85" i="32"/>
  <c r="I85" i="32"/>
  <c r="J85" i="32"/>
  <c r="E85" i="32"/>
  <c r="F85" i="32"/>
  <c r="H84" i="32"/>
  <c r="I84" i="32"/>
  <c r="J84" i="32"/>
  <c r="E84" i="32"/>
  <c r="F84" i="32"/>
  <c r="H83" i="32"/>
  <c r="I83" i="32"/>
  <c r="J83" i="32"/>
  <c r="E83" i="32"/>
  <c r="F83" i="32"/>
  <c r="H82" i="32"/>
  <c r="I82" i="32"/>
  <c r="J82" i="32"/>
  <c r="E82" i="32"/>
  <c r="F82" i="32"/>
  <c r="H81" i="32"/>
  <c r="I81" i="32"/>
  <c r="J81" i="32"/>
  <c r="E81" i="32"/>
  <c r="F81" i="32"/>
  <c r="H80" i="32"/>
  <c r="I80" i="32"/>
  <c r="J80" i="32"/>
  <c r="E80" i="32"/>
  <c r="F80" i="32"/>
  <c r="H79" i="32"/>
  <c r="I79" i="32"/>
  <c r="J79" i="32"/>
  <c r="E79" i="32"/>
  <c r="F79" i="32"/>
  <c r="H78" i="32"/>
  <c r="I78" i="32"/>
  <c r="J78" i="32"/>
  <c r="E78" i="32"/>
  <c r="F78" i="32"/>
  <c r="H77" i="32"/>
  <c r="I77" i="32"/>
  <c r="J77" i="32"/>
  <c r="E77" i="32"/>
  <c r="F77" i="32"/>
  <c r="H76" i="32"/>
  <c r="I76" i="32"/>
  <c r="J76" i="32"/>
  <c r="E76" i="32"/>
  <c r="F76" i="32"/>
  <c r="H75" i="32"/>
  <c r="I75" i="32"/>
  <c r="J75" i="32"/>
  <c r="E75" i="32"/>
  <c r="F75" i="32"/>
  <c r="H74" i="32"/>
  <c r="I74" i="32"/>
  <c r="J74" i="32"/>
  <c r="E74" i="32"/>
  <c r="F74" i="32"/>
  <c r="H73" i="32"/>
  <c r="I73" i="32"/>
  <c r="J73" i="32"/>
  <c r="E73" i="32"/>
  <c r="F73" i="32"/>
  <c r="H72" i="32"/>
  <c r="I72" i="32"/>
  <c r="J72" i="32"/>
  <c r="E72" i="32"/>
  <c r="F72" i="32"/>
  <c r="H71" i="32"/>
  <c r="I71" i="32"/>
  <c r="J71" i="32"/>
  <c r="E71" i="32"/>
  <c r="F71" i="32"/>
  <c r="H70" i="32"/>
  <c r="I70" i="32"/>
  <c r="J70" i="32"/>
  <c r="E70" i="32"/>
  <c r="F70" i="32"/>
  <c r="H69" i="32"/>
  <c r="I69" i="32"/>
  <c r="J69" i="32"/>
  <c r="E69" i="32"/>
  <c r="F69" i="32"/>
  <c r="H68" i="32"/>
  <c r="I68" i="32"/>
  <c r="J68" i="32"/>
  <c r="E68" i="32"/>
  <c r="F68" i="32"/>
  <c r="H67" i="32"/>
  <c r="I67" i="32"/>
  <c r="J67" i="32"/>
  <c r="E67" i="32"/>
  <c r="F67" i="32"/>
  <c r="H66" i="32"/>
  <c r="I66" i="32"/>
  <c r="J66" i="32"/>
  <c r="E66" i="32"/>
  <c r="F66" i="32"/>
  <c r="H65" i="32"/>
  <c r="I65" i="32"/>
  <c r="J65" i="32"/>
  <c r="E65" i="32"/>
  <c r="F65" i="32"/>
  <c r="H64" i="32"/>
  <c r="I64" i="32"/>
  <c r="J64" i="32"/>
  <c r="E64" i="32"/>
  <c r="F64" i="32"/>
  <c r="H63" i="32"/>
  <c r="I63" i="32"/>
  <c r="J63" i="32"/>
  <c r="E63" i="32"/>
  <c r="F63" i="32"/>
  <c r="H62" i="32"/>
  <c r="I62" i="32"/>
  <c r="J62" i="32"/>
  <c r="E62" i="32"/>
  <c r="F62" i="32"/>
  <c r="J61" i="32"/>
  <c r="H61" i="32"/>
  <c r="F61" i="32"/>
  <c r="J60" i="32"/>
  <c r="H60" i="32"/>
  <c r="F60" i="32"/>
  <c r="J59" i="32"/>
  <c r="H59" i="32"/>
  <c r="F59" i="32"/>
  <c r="J58" i="32"/>
  <c r="H58" i="32"/>
  <c r="F58" i="32"/>
  <c r="J57" i="32"/>
  <c r="H57" i="32"/>
  <c r="F57" i="32"/>
  <c r="J56" i="32"/>
  <c r="H56" i="32"/>
  <c r="F56" i="32"/>
  <c r="J55" i="32"/>
  <c r="H55" i="32"/>
  <c r="F55" i="32"/>
  <c r="J54" i="32"/>
  <c r="H54" i="32"/>
  <c r="F54" i="32"/>
  <c r="J53" i="32"/>
  <c r="H53" i="32"/>
  <c r="F53" i="32"/>
  <c r="J52" i="32"/>
  <c r="H52" i="32"/>
  <c r="F52" i="32"/>
  <c r="J51" i="32"/>
  <c r="H51" i="32"/>
  <c r="F51" i="32"/>
  <c r="J50" i="32"/>
  <c r="H50" i="32"/>
  <c r="F50" i="32"/>
  <c r="J49" i="32"/>
  <c r="H49" i="32"/>
  <c r="F49" i="32"/>
  <c r="J48" i="32"/>
  <c r="H48" i="32"/>
  <c r="F48" i="32"/>
  <c r="J47" i="32"/>
  <c r="H47" i="32"/>
  <c r="F47" i="32"/>
  <c r="J46" i="32"/>
  <c r="H46" i="32"/>
  <c r="F46" i="32"/>
  <c r="J45" i="32"/>
  <c r="H45" i="32"/>
  <c r="F45" i="32"/>
  <c r="J44" i="32"/>
  <c r="H44" i="32"/>
  <c r="F44" i="32"/>
  <c r="J43" i="32"/>
  <c r="H43" i="32"/>
  <c r="F43" i="32"/>
  <c r="J42" i="32"/>
  <c r="H42" i="32"/>
  <c r="F42" i="32"/>
  <c r="J41" i="32"/>
  <c r="H41" i="32"/>
  <c r="F41" i="32"/>
  <c r="J40" i="32"/>
  <c r="H40" i="32"/>
  <c r="F40" i="32"/>
  <c r="J39" i="32"/>
  <c r="H39" i="32"/>
  <c r="F39" i="32"/>
  <c r="J38" i="32"/>
  <c r="H38" i="32"/>
  <c r="F38" i="32"/>
  <c r="J37" i="32"/>
  <c r="H37" i="32"/>
  <c r="F37" i="32"/>
  <c r="J36" i="32"/>
  <c r="H36" i="32"/>
  <c r="F36" i="32"/>
  <c r="J35" i="32"/>
  <c r="H35" i="32"/>
  <c r="F35" i="32"/>
  <c r="J34" i="32"/>
  <c r="H34" i="32"/>
  <c r="F34" i="32"/>
  <c r="J33" i="32"/>
  <c r="H33" i="32"/>
  <c r="F33" i="32"/>
  <c r="J32" i="32"/>
  <c r="H32" i="32"/>
  <c r="F32" i="32"/>
  <c r="J31" i="32"/>
  <c r="H31" i="32"/>
  <c r="F31" i="32"/>
  <c r="J30" i="32"/>
  <c r="H30" i="32"/>
  <c r="F30" i="32"/>
  <c r="J29" i="32"/>
  <c r="H29" i="32"/>
  <c r="F29" i="32"/>
  <c r="J28" i="32"/>
  <c r="H28" i="32"/>
  <c r="F28" i="32"/>
  <c r="J27" i="32"/>
  <c r="H27" i="32"/>
  <c r="F27" i="32"/>
  <c r="J26" i="32"/>
  <c r="H26" i="32"/>
  <c r="F26" i="32"/>
  <c r="J25" i="32"/>
  <c r="H25" i="32"/>
  <c r="F25" i="32"/>
  <c r="J24" i="32"/>
  <c r="H24" i="32"/>
  <c r="F24" i="32"/>
  <c r="J23" i="32"/>
  <c r="H23" i="32"/>
  <c r="F23" i="32"/>
  <c r="J22" i="32"/>
  <c r="H22" i="32"/>
  <c r="F22" i="32"/>
  <c r="J21" i="32"/>
  <c r="H21" i="32"/>
  <c r="F21" i="32"/>
  <c r="J20" i="32"/>
  <c r="H20" i="32"/>
  <c r="F20" i="32"/>
  <c r="J19" i="32"/>
  <c r="H19" i="32"/>
  <c r="F19" i="32"/>
  <c r="J18" i="32"/>
  <c r="H18" i="32"/>
  <c r="F18" i="32"/>
  <c r="J17" i="32"/>
  <c r="H17" i="32"/>
  <c r="F17" i="32"/>
  <c r="J16" i="32"/>
  <c r="H16" i="32"/>
  <c r="F16" i="32"/>
  <c r="J15" i="32"/>
  <c r="H15" i="32"/>
  <c r="F15" i="32"/>
  <c r="J14" i="32"/>
  <c r="H14" i="32"/>
  <c r="F14" i="32"/>
  <c r="I194" i="33"/>
  <c r="R205" i="33"/>
  <c r="I205" i="33"/>
  <c r="J216" i="33"/>
  <c r="R204" i="33"/>
  <c r="I204" i="33"/>
  <c r="R203" i="33"/>
  <c r="I203" i="33"/>
  <c r="R202" i="33"/>
  <c r="I202" i="33"/>
  <c r="R201" i="33"/>
  <c r="I201" i="33"/>
  <c r="Y200" i="33"/>
  <c r="R200" i="33"/>
  <c r="I200" i="33"/>
  <c r="R199" i="33"/>
  <c r="I199" i="33"/>
  <c r="R198" i="33"/>
  <c r="I198" i="33"/>
  <c r="R197" i="33"/>
  <c r="I197" i="33"/>
  <c r="Y196" i="33"/>
  <c r="R196" i="33"/>
  <c r="I196" i="33"/>
  <c r="Y195" i="33"/>
  <c r="R195" i="33"/>
  <c r="I195" i="33"/>
  <c r="R194" i="33"/>
  <c r="Q118" i="54"/>
  <c r="Q119" i="54"/>
  <c r="Q120" i="54"/>
  <c r="Q121" i="54"/>
  <c r="Q122" i="54"/>
  <c r="Q123" i="54"/>
  <c r="Q124" i="54"/>
  <c r="Q125" i="54"/>
  <c r="Q126" i="54"/>
  <c r="Q127" i="54"/>
  <c r="Q128" i="54"/>
  <c r="Q129" i="54"/>
  <c r="L129" i="54"/>
  <c r="K129" i="54"/>
  <c r="J129" i="54"/>
  <c r="L128" i="54"/>
  <c r="K128" i="54"/>
  <c r="J128" i="54"/>
  <c r="L127" i="54"/>
  <c r="K127" i="54"/>
  <c r="J127" i="54"/>
  <c r="L126" i="54"/>
  <c r="K126" i="54"/>
  <c r="J126" i="54"/>
  <c r="L125" i="54"/>
  <c r="K125" i="54"/>
  <c r="J125" i="54"/>
  <c r="L124" i="54"/>
  <c r="K124" i="54"/>
  <c r="J124" i="54"/>
  <c r="L123" i="54"/>
  <c r="K123" i="54"/>
  <c r="J123" i="54"/>
  <c r="L122" i="54"/>
  <c r="K122" i="54"/>
  <c r="J122" i="54"/>
  <c r="L121" i="54"/>
  <c r="K121" i="54"/>
  <c r="J121" i="54"/>
  <c r="L120" i="54"/>
  <c r="K120" i="54"/>
  <c r="J120" i="54"/>
  <c r="L119" i="54"/>
  <c r="K119" i="54"/>
  <c r="J119" i="54"/>
  <c r="L118" i="54"/>
  <c r="K118" i="54"/>
  <c r="J118" i="54"/>
  <c r="K166" i="32"/>
  <c r="K22" i="32"/>
  <c r="K116" i="32"/>
  <c r="K124" i="32"/>
  <c r="K132" i="32"/>
  <c r="K158" i="32"/>
  <c r="P118" i="54"/>
  <c r="R118" i="54"/>
  <c r="F117" i="52"/>
  <c r="G117" i="52" s="1"/>
  <c r="P122" i="54"/>
  <c r="R122" i="54"/>
  <c r="F121" i="52"/>
  <c r="H121" i="52" s="1"/>
  <c r="I121" i="52" s="1"/>
  <c r="P126" i="54"/>
  <c r="R126" i="54"/>
  <c r="F125" i="52"/>
  <c r="H125" i="52" s="1"/>
  <c r="I125" i="52" s="1"/>
  <c r="J212" i="33"/>
  <c r="J214" i="33"/>
  <c r="K19" i="32"/>
  <c r="K21" i="32"/>
  <c r="K69" i="32"/>
  <c r="K73" i="32"/>
  <c r="J213" i="33"/>
  <c r="J215" i="33"/>
  <c r="P119" i="54"/>
  <c r="R119" i="54"/>
  <c r="F118" i="52"/>
  <c r="P123" i="54"/>
  <c r="R123" i="54"/>
  <c r="F122" i="52"/>
  <c r="G122" i="52" s="1"/>
  <c r="K14" i="32"/>
  <c r="K23" i="32"/>
  <c r="K25" i="32"/>
  <c r="K16" i="32"/>
  <c r="K29" i="32"/>
  <c r="K33" i="32"/>
  <c r="L33" i="32"/>
  <c r="K37" i="32"/>
  <c r="L37" i="32"/>
  <c r="K41" i="32"/>
  <c r="K45" i="32"/>
  <c r="K49" i="32"/>
  <c r="K53" i="32"/>
  <c r="K57" i="32"/>
  <c r="K61" i="32"/>
  <c r="K15" i="32"/>
  <c r="K17" i="32"/>
  <c r="K24" i="32"/>
  <c r="K28" i="32"/>
  <c r="K32" i="32"/>
  <c r="K36" i="32"/>
  <c r="K40" i="32"/>
  <c r="K44" i="32"/>
  <c r="K48" i="32"/>
  <c r="K52" i="32"/>
  <c r="K56" i="32"/>
  <c r="K60" i="32"/>
  <c r="K140" i="32"/>
  <c r="K162" i="32"/>
  <c r="J208" i="33"/>
  <c r="J210" i="33"/>
  <c r="K120" i="32"/>
  <c r="L132" i="32"/>
  <c r="K136" i="32"/>
  <c r="K146" i="32"/>
  <c r="K147" i="32"/>
  <c r="K149" i="32"/>
  <c r="K150" i="32"/>
  <c r="K151" i="32"/>
  <c r="K152" i="32"/>
  <c r="K153" i="32"/>
  <c r="K154" i="32"/>
  <c r="K155" i="32"/>
  <c r="K156" i="32"/>
  <c r="K159" i="32"/>
  <c r="K160" i="32"/>
  <c r="K163" i="32"/>
  <c r="K164" i="32"/>
  <c r="K167" i="32"/>
  <c r="K168" i="32"/>
  <c r="K170" i="32"/>
  <c r="K171" i="32"/>
  <c r="K172" i="32"/>
  <c r="K174" i="32"/>
  <c r="L174" i="32"/>
  <c r="K175" i="32"/>
  <c r="L175" i="32"/>
  <c r="K176" i="32"/>
  <c r="L176" i="32"/>
  <c r="K178" i="32"/>
  <c r="L178" i="32"/>
  <c r="K179" i="32"/>
  <c r="K180" i="32"/>
  <c r="K182" i="32"/>
  <c r="K183" i="32"/>
  <c r="K184" i="32"/>
  <c r="K65" i="32"/>
  <c r="K112" i="32"/>
  <c r="K128" i="32"/>
  <c r="K144" i="32"/>
  <c r="K157" i="32"/>
  <c r="K161" i="32"/>
  <c r="K165" i="32"/>
  <c r="K169" i="32"/>
  <c r="K173" i="32"/>
  <c r="K177" i="32"/>
  <c r="K181" i="32"/>
  <c r="K188" i="32"/>
  <c r="K192" i="32"/>
  <c r="L192" i="32"/>
  <c r="K196" i="32"/>
  <c r="L208" i="32"/>
  <c r="K200" i="32"/>
  <c r="K64" i="32"/>
  <c r="K68" i="32"/>
  <c r="L68" i="32"/>
  <c r="K72" i="32"/>
  <c r="K115" i="32"/>
  <c r="K119" i="32"/>
  <c r="K123" i="32"/>
  <c r="K127" i="32"/>
  <c r="K131" i="32"/>
  <c r="K135" i="32"/>
  <c r="K139" i="32"/>
  <c r="K143" i="32"/>
  <c r="K187" i="32"/>
  <c r="K191" i="32"/>
  <c r="K195" i="32"/>
  <c r="L207" i="32"/>
  <c r="K199" i="32"/>
  <c r="P121" i="54"/>
  <c r="R121" i="54"/>
  <c r="F120" i="52"/>
  <c r="J209" i="33"/>
  <c r="J211" i="33"/>
  <c r="K20" i="32"/>
  <c r="K27" i="32"/>
  <c r="K31" i="32"/>
  <c r="K35" i="32"/>
  <c r="K39" i="32"/>
  <c r="K43" i="32"/>
  <c r="K47" i="32"/>
  <c r="K51" i="32"/>
  <c r="K55" i="32"/>
  <c r="K59" i="32"/>
  <c r="K63" i="32"/>
  <c r="K67" i="32"/>
  <c r="K71" i="32"/>
  <c r="K114" i="32"/>
  <c r="K118" i="32"/>
  <c r="K122" i="32"/>
  <c r="K126" i="32"/>
  <c r="K130" i="32"/>
  <c r="K134" i="32"/>
  <c r="K138" i="32"/>
  <c r="K142" i="32"/>
  <c r="K186" i="32"/>
  <c r="K190" i="32"/>
  <c r="K194" i="32"/>
  <c r="L206" i="32"/>
  <c r="K198" i="32"/>
  <c r="K202" i="32"/>
  <c r="P120" i="54"/>
  <c r="R120" i="54"/>
  <c r="F119" i="52"/>
  <c r="H119" i="52" s="1"/>
  <c r="I119" i="52" s="1"/>
  <c r="P124" i="54"/>
  <c r="R124" i="54"/>
  <c r="F123" i="52"/>
  <c r="H123" i="52" s="1"/>
  <c r="I123" i="52" s="1"/>
  <c r="J207" i="33"/>
  <c r="K18" i="32"/>
  <c r="K26" i="32"/>
  <c r="K30" i="32"/>
  <c r="K34" i="32"/>
  <c r="K38" i="32"/>
  <c r="K42" i="32"/>
  <c r="K46" i="32"/>
  <c r="K50" i="32"/>
  <c r="K54" i="32"/>
  <c r="K58" i="32"/>
  <c r="K62" i="32"/>
  <c r="K66" i="32"/>
  <c r="K70" i="32"/>
  <c r="K74" i="32"/>
  <c r="K113" i="32"/>
  <c r="K117" i="32"/>
  <c r="K121" i="32"/>
  <c r="K125" i="32"/>
  <c r="K129" i="32"/>
  <c r="K133" i="32"/>
  <c r="K137" i="32"/>
  <c r="K141" i="32"/>
  <c r="K145" i="32"/>
  <c r="K185" i="32"/>
  <c r="K189" i="32"/>
  <c r="K193" i="32"/>
  <c r="K197" i="32"/>
  <c r="L209" i="32"/>
  <c r="K201" i="32"/>
  <c r="L213" i="32"/>
  <c r="J206" i="33"/>
  <c r="P129" i="54"/>
  <c r="R129" i="54"/>
  <c r="F128" i="52"/>
  <c r="G128" i="52"/>
  <c r="P127" i="54"/>
  <c r="R127" i="54"/>
  <c r="F126" i="52"/>
  <c r="K204" i="32"/>
  <c r="L216" i="32"/>
  <c r="J205" i="33"/>
  <c r="K203" i="32"/>
  <c r="P128" i="54"/>
  <c r="R128" i="54"/>
  <c r="F127" i="52"/>
  <c r="G127" i="52" s="1"/>
  <c r="P125" i="54"/>
  <c r="R125" i="54"/>
  <c r="F124" i="52"/>
  <c r="G124" i="52" s="1"/>
  <c r="K75" i="32"/>
  <c r="K76" i="32"/>
  <c r="K77" i="32"/>
  <c r="K78" i="32"/>
  <c r="K79" i="32"/>
  <c r="K80" i="32"/>
  <c r="K81" i="32"/>
  <c r="K82" i="32"/>
  <c r="K83" i="32"/>
  <c r="K84" i="32"/>
  <c r="K85" i="32"/>
  <c r="K86" i="32"/>
  <c r="K87" i="32"/>
  <c r="K88" i="32"/>
  <c r="K89" i="32"/>
  <c r="K90" i="32"/>
  <c r="K91" i="32"/>
  <c r="K92" i="32"/>
  <c r="K93" i="32"/>
  <c r="K94" i="32"/>
  <c r="K95" i="32"/>
  <c r="K96" i="32"/>
  <c r="K97" i="32"/>
  <c r="K98" i="32"/>
  <c r="K99" i="32"/>
  <c r="K100" i="32"/>
  <c r="K101" i="32"/>
  <c r="K102" i="32"/>
  <c r="K103" i="32"/>
  <c r="K104" i="32"/>
  <c r="K105" i="32"/>
  <c r="K106" i="32"/>
  <c r="K107" i="32"/>
  <c r="K108" i="32"/>
  <c r="K109" i="32"/>
  <c r="K110" i="32"/>
  <c r="K111" i="32"/>
  <c r="K148" i="32"/>
  <c r="L163" i="32"/>
  <c r="K205" i="32"/>
  <c r="L217" i="32"/>
  <c r="M252" i="32"/>
  <c r="M263" i="32"/>
  <c r="M259" i="32"/>
  <c r="M255" i="32"/>
  <c r="M262" i="32"/>
  <c r="M258" i="32"/>
  <c r="M254" i="32"/>
  <c r="M265" i="32"/>
  <c r="M261" i="32"/>
  <c r="M257" i="32"/>
  <c r="M260" i="32"/>
  <c r="M256" i="32"/>
  <c r="M264" i="32"/>
  <c r="M253" i="32"/>
  <c r="M251" i="32"/>
  <c r="M247" i="32"/>
  <c r="M242" i="32"/>
  <c r="M250" i="32"/>
  <c r="M243" i="32"/>
  <c r="M246" i="32"/>
  <c r="M245" i="32"/>
  <c r="M249" i="32"/>
  <c r="M248" i="32"/>
  <c r="M244" i="32"/>
  <c r="M220" i="32"/>
  <c r="M233" i="32"/>
  <c r="M237" i="32"/>
  <c r="M230" i="32"/>
  <c r="M240" i="32"/>
  <c r="M231" i="32"/>
  <c r="M241" i="32"/>
  <c r="M236" i="32"/>
  <c r="M235" i="32"/>
  <c r="M238" i="32"/>
  <c r="M234" i="32"/>
  <c r="M232" i="32"/>
  <c r="M239" i="32"/>
  <c r="L166" i="32"/>
  <c r="L161" i="32"/>
  <c r="L182" i="32"/>
  <c r="M156" i="32"/>
  <c r="L56" i="32"/>
  <c r="L40" i="32"/>
  <c r="L73" i="32"/>
  <c r="L57" i="32"/>
  <c r="M134" i="32"/>
  <c r="L116" i="32"/>
  <c r="L146" i="32"/>
  <c r="L45" i="32"/>
  <c r="L70" i="32"/>
  <c r="L169" i="32"/>
  <c r="L180" i="32"/>
  <c r="L52" i="32"/>
  <c r="L36" i="32"/>
  <c r="L53" i="32"/>
  <c r="L158" i="32"/>
  <c r="L167" i="32"/>
  <c r="M138" i="32"/>
  <c r="M122" i="32"/>
  <c r="M139" i="32"/>
  <c r="M123" i="32"/>
  <c r="L170" i="32"/>
  <c r="M126" i="32"/>
  <c r="L34" i="32"/>
  <c r="L183" i="32"/>
  <c r="M172" i="32"/>
  <c r="L171" i="32"/>
  <c r="L149" i="32"/>
  <c r="L44" i="32"/>
  <c r="L35" i="32"/>
  <c r="L112" i="32"/>
  <c r="M178" i="32"/>
  <c r="L26" i="32"/>
  <c r="L190" i="32"/>
  <c r="M118" i="32"/>
  <c r="L31" i="32"/>
  <c r="L147" i="32"/>
  <c r="L28" i="32"/>
  <c r="L39" i="32"/>
  <c r="L188" i="32"/>
  <c r="L144" i="32"/>
  <c r="L184" i="32"/>
  <c r="L179" i="32"/>
  <c r="L172" i="32"/>
  <c r="L136" i="32"/>
  <c r="L69" i="32"/>
  <c r="L63" i="32"/>
  <c r="L49" i="32"/>
  <c r="M188" i="32"/>
  <c r="M227" i="32"/>
  <c r="M223" i="32"/>
  <c r="M219" i="32"/>
  <c r="M226" i="32"/>
  <c r="M222" i="32"/>
  <c r="M218" i="32"/>
  <c r="M225" i="32"/>
  <c r="M221" i="32"/>
  <c r="M228" i="32"/>
  <c r="M224" i="32"/>
  <c r="M229" i="32"/>
  <c r="L151" i="32"/>
  <c r="M142" i="32"/>
  <c r="L150" i="32"/>
  <c r="L162" i="32"/>
  <c r="L197" i="32"/>
  <c r="M197" i="32"/>
  <c r="L122" i="32"/>
  <c r="M213" i="32"/>
  <c r="M216" i="32"/>
  <c r="M217" i="32"/>
  <c r="L118" i="32"/>
  <c r="L47" i="32"/>
  <c r="L191" i="32"/>
  <c r="L64" i="32"/>
  <c r="M200" i="32"/>
  <c r="M181" i="32"/>
  <c r="M165" i="32"/>
  <c r="L153" i="32"/>
  <c r="L48" i="32"/>
  <c r="M196" i="32"/>
  <c r="M180" i="32"/>
  <c r="M166" i="32"/>
  <c r="L159" i="32"/>
  <c r="L156" i="32"/>
  <c r="M189" i="32"/>
  <c r="L54" i="32"/>
  <c r="M186" i="32"/>
  <c r="L114" i="32"/>
  <c r="L59" i="32"/>
  <c r="L27" i="32"/>
  <c r="M115" i="32"/>
  <c r="M177" i="32"/>
  <c r="M161" i="32"/>
  <c r="M112" i="32"/>
  <c r="M182" i="32"/>
  <c r="M164" i="32"/>
  <c r="M152" i="32"/>
  <c r="L29" i="32"/>
  <c r="G125" i="52"/>
  <c r="M192" i="32"/>
  <c r="M170" i="32"/>
  <c r="L164" i="32"/>
  <c r="M158" i="32"/>
  <c r="L152" i="32"/>
  <c r="M146" i="32"/>
  <c r="M185" i="32"/>
  <c r="M117" i="32"/>
  <c r="L51" i="32"/>
  <c r="L72" i="32"/>
  <c r="L173" i="32"/>
  <c r="L65" i="32"/>
  <c r="L41" i="32"/>
  <c r="L186" i="32"/>
  <c r="L181" i="32"/>
  <c r="M174" i="32"/>
  <c r="L160" i="32"/>
  <c r="L61" i="32"/>
  <c r="L38" i="32"/>
  <c r="L130" i="32"/>
  <c r="L43" i="32"/>
  <c r="L131" i="32"/>
  <c r="G119" i="52"/>
  <c r="L168" i="32"/>
  <c r="L165" i="32"/>
  <c r="M162" i="32"/>
  <c r="M150" i="32"/>
  <c r="L120" i="32"/>
  <c r="L60" i="32"/>
  <c r="L66" i="32"/>
  <c r="L50" i="32"/>
  <c r="L71" i="32"/>
  <c r="L55" i="32"/>
  <c r="L32" i="32"/>
  <c r="L194" i="32"/>
  <c r="L189" i="32"/>
  <c r="L121" i="32"/>
  <c r="M113" i="32"/>
  <c r="L124" i="32"/>
  <c r="M204" i="32"/>
  <c r="L204" i="32"/>
  <c r="L133" i="32"/>
  <c r="M133" i="32"/>
  <c r="L214" i="32"/>
  <c r="M202" i="32"/>
  <c r="L187" i="32"/>
  <c r="M187" i="32"/>
  <c r="L212" i="32"/>
  <c r="L200" i="32"/>
  <c r="L128" i="32"/>
  <c r="L140" i="32"/>
  <c r="M128" i="32"/>
  <c r="L202" i="32"/>
  <c r="L185" i="32"/>
  <c r="M131" i="32"/>
  <c r="L145" i="32"/>
  <c r="M145" i="32"/>
  <c r="L129" i="32"/>
  <c r="M129" i="32"/>
  <c r="L62" i="32"/>
  <c r="L46" i="32"/>
  <c r="L58" i="32"/>
  <c r="L30" i="32"/>
  <c r="L42" i="32"/>
  <c r="L210" i="32"/>
  <c r="M198" i="32"/>
  <c r="L142" i="32"/>
  <c r="L154" i="32"/>
  <c r="L126" i="32"/>
  <c r="L211" i="32"/>
  <c r="L199" i="32"/>
  <c r="M199" i="32"/>
  <c r="L143" i="32"/>
  <c r="L201" i="32"/>
  <c r="L193" i="32"/>
  <c r="L177" i="32"/>
  <c r="L155" i="32"/>
  <c r="M130" i="32"/>
  <c r="M114" i="32"/>
  <c r="L117" i="32"/>
  <c r="L113" i="32"/>
  <c r="M18" i="32"/>
  <c r="M207" i="32"/>
  <c r="M215" i="32"/>
  <c r="M208" i="32"/>
  <c r="M214" i="32"/>
  <c r="M210" i="32"/>
  <c r="M209" i="32"/>
  <c r="M211" i="32"/>
  <c r="M212" i="32"/>
  <c r="M206" i="32"/>
  <c r="M116" i="32"/>
  <c r="M120" i="32"/>
  <c r="M124" i="32"/>
  <c r="M132" i="32"/>
  <c r="M136" i="32"/>
  <c r="M140" i="32"/>
  <c r="M144" i="32"/>
  <c r="M149" i="32"/>
  <c r="M151" i="32"/>
  <c r="M153" i="32"/>
  <c r="M155" i="32"/>
  <c r="M159" i="32"/>
  <c r="M163" i="32"/>
  <c r="M167" i="32"/>
  <c r="M169" i="32"/>
  <c r="M171" i="32"/>
  <c r="M175" i="32"/>
  <c r="M179" i="32"/>
  <c r="M183" i="32"/>
  <c r="M190" i="32"/>
  <c r="M121" i="32"/>
  <c r="M125" i="32"/>
  <c r="M137" i="32"/>
  <c r="M141" i="32"/>
  <c r="M147" i="32"/>
  <c r="M184" i="32"/>
  <c r="M191" i="32"/>
  <c r="M195" i="32"/>
  <c r="L74" i="32"/>
  <c r="M173" i="32"/>
  <c r="M157" i="32"/>
  <c r="L198" i="32"/>
  <c r="M201" i="32"/>
  <c r="M193" i="32"/>
  <c r="M176" i="32"/>
  <c r="M168" i="32"/>
  <c r="M160" i="32"/>
  <c r="L157" i="32"/>
  <c r="M154" i="32"/>
  <c r="M143" i="32"/>
  <c r="M135" i="32"/>
  <c r="M127" i="32"/>
  <c r="M119" i="32"/>
  <c r="L67" i="32"/>
  <c r="L127" i="32"/>
  <c r="L196" i="32"/>
  <c r="L215" i="32"/>
  <c r="M203" i="32"/>
  <c r="L141" i="32"/>
  <c r="L125" i="32"/>
  <c r="L138" i="32"/>
  <c r="L139" i="32"/>
  <c r="L203" i="32"/>
  <c r="L195" i="32"/>
  <c r="M194" i="32"/>
  <c r="L137" i="32"/>
  <c r="L134" i="32"/>
  <c r="L135" i="32"/>
  <c r="L148" i="32"/>
  <c r="M148" i="32"/>
  <c r="L110" i="32"/>
  <c r="M110" i="32"/>
  <c r="L108" i="32"/>
  <c r="M108" i="32"/>
  <c r="L106" i="32"/>
  <c r="M106" i="32"/>
  <c r="L104" i="32"/>
  <c r="M104" i="32"/>
  <c r="L102" i="32"/>
  <c r="M102" i="32"/>
  <c r="L100" i="32"/>
  <c r="M100" i="32"/>
  <c r="L98" i="32"/>
  <c r="M98" i="32"/>
  <c r="M96" i="32"/>
  <c r="L96" i="32"/>
  <c r="M94" i="32"/>
  <c r="L94" i="32"/>
  <c r="M92" i="32"/>
  <c r="L92" i="32"/>
  <c r="M90" i="32"/>
  <c r="L90" i="32"/>
  <c r="M88" i="32"/>
  <c r="L88" i="32"/>
  <c r="M86" i="32"/>
  <c r="L86" i="32"/>
  <c r="M84" i="32"/>
  <c r="L84" i="32"/>
  <c r="M82" i="32"/>
  <c r="L82" i="32"/>
  <c r="M80" i="32"/>
  <c r="L80" i="32"/>
  <c r="M78" i="32"/>
  <c r="L78" i="32"/>
  <c r="M76" i="32"/>
  <c r="L76" i="32"/>
  <c r="M25" i="32"/>
  <c r="M21" i="32"/>
  <c r="M17" i="32"/>
  <c r="M65" i="32"/>
  <c r="M60" i="32"/>
  <c r="M56" i="32"/>
  <c r="M51" i="32"/>
  <c r="M47" i="32"/>
  <c r="M44" i="32"/>
  <c r="M40" i="32"/>
  <c r="M36" i="32"/>
  <c r="M32" i="32"/>
  <c r="M27" i="32"/>
  <c r="M74" i="32"/>
  <c r="M72" i="32"/>
  <c r="M70" i="32"/>
  <c r="M68" i="32"/>
  <c r="M66" i="32"/>
  <c r="M63" i="32"/>
  <c r="M59" i="32"/>
  <c r="M55" i="32"/>
  <c r="M52" i="32"/>
  <c r="M48" i="32"/>
  <c r="M43" i="32"/>
  <c r="M39" i="32"/>
  <c r="M35" i="32"/>
  <c r="M31" i="32"/>
  <c r="M28" i="32"/>
  <c r="M24" i="32"/>
  <c r="M16" i="32"/>
  <c r="M205" i="32"/>
  <c r="L205" i="32"/>
  <c r="L111" i="32"/>
  <c r="M111" i="32"/>
  <c r="L109" i="32"/>
  <c r="M109" i="32"/>
  <c r="L107" i="32"/>
  <c r="M107" i="32"/>
  <c r="L105" i="32"/>
  <c r="M105" i="32"/>
  <c r="L103" i="32"/>
  <c r="M103" i="32"/>
  <c r="L101" i="32"/>
  <c r="M101" i="32"/>
  <c r="L99" i="32"/>
  <c r="M99" i="32"/>
  <c r="L97" i="32"/>
  <c r="M97" i="32"/>
  <c r="L95" i="32"/>
  <c r="M95" i="32"/>
  <c r="L93" i="32"/>
  <c r="M93" i="32"/>
  <c r="L91" i="32"/>
  <c r="M91" i="32"/>
  <c r="L89" i="32"/>
  <c r="M89" i="32"/>
  <c r="L87" i="32"/>
  <c r="M87" i="32"/>
  <c r="L85" i="32"/>
  <c r="M85" i="32"/>
  <c r="L83" i="32"/>
  <c r="M83" i="32"/>
  <c r="L81" i="32"/>
  <c r="M81" i="32"/>
  <c r="L79" i="32"/>
  <c r="M79" i="32"/>
  <c r="L77" i="32"/>
  <c r="M77" i="32"/>
  <c r="L75" i="32"/>
  <c r="M75" i="32"/>
  <c r="M23" i="32"/>
  <c r="M19" i="32"/>
  <c r="M15" i="32"/>
  <c r="M62" i="32"/>
  <c r="M58" i="32"/>
  <c r="M53" i="32"/>
  <c r="M50" i="32"/>
  <c r="M46" i="32"/>
  <c r="M42" i="32"/>
  <c r="M38" i="32"/>
  <c r="M34" i="32"/>
  <c r="M29" i="32"/>
  <c r="L123" i="32"/>
  <c r="L119" i="32"/>
  <c r="L115" i="32"/>
  <c r="M73" i="32"/>
  <c r="M71" i="32"/>
  <c r="M69" i="32"/>
  <c r="M67" i="32"/>
  <c r="M64" i="32"/>
  <c r="M61" i="32"/>
  <c r="M57" i="32"/>
  <c r="M54" i="32"/>
  <c r="M49" i="32"/>
  <c r="M45" i="32"/>
  <c r="M41" i="32"/>
  <c r="M37" i="32"/>
  <c r="M33" i="32"/>
  <c r="M30" i="32"/>
  <c r="M26" i="32"/>
  <c r="M20" i="32"/>
  <c r="M22" i="32"/>
  <c r="M14" i="32"/>
  <c r="H128" i="52"/>
  <c r="I128" i="52" s="1"/>
  <c r="H124" i="52"/>
  <c r="I124" i="52" s="1"/>
  <c r="H120" i="52"/>
  <c r="I120" i="52" s="1"/>
  <c r="G120" i="52"/>
  <c r="H126" i="52"/>
  <c r="I126" i="52"/>
  <c r="G126" i="52"/>
  <c r="H122" i="52"/>
  <c r="I122" i="52" s="1"/>
  <c r="H118" i="52"/>
  <c r="I118" i="52" s="1"/>
  <c r="G118" i="52"/>
  <c r="Q117" i="54"/>
  <c r="L117" i="54"/>
  <c r="K117" i="54"/>
  <c r="J117" i="54"/>
  <c r="Q116" i="54"/>
  <c r="L116" i="54"/>
  <c r="K116" i="54"/>
  <c r="J116" i="54"/>
  <c r="Q115" i="54"/>
  <c r="L115" i="54"/>
  <c r="K115" i="54"/>
  <c r="J115" i="54"/>
  <c r="Q114" i="54"/>
  <c r="L114" i="54"/>
  <c r="K114" i="54"/>
  <c r="J114" i="54"/>
  <c r="Q113" i="54"/>
  <c r="L113" i="54"/>
  <c r="K113" i="54"/>
  <c r="J113" i="54"/>
  <c r="Q112" i="54"/>
  <c r="L112" i="54"/>
  <c r="K112" i="54"/>
  <c r="J112" i="54"/>
  <c r="Q111" i="54"/>
  <c r="L111" i="54"/>
  <c r="K111" i="54"/>
  <c r="J111" i="54"/>
  <c r="Q110" i="54"/>
  <c r="L110" i="54"/>
  <c r="K110" i="54"/>
  <c r="J110" i="54"/>
  <c r="Q109" i="54"/>
  <c r="L109" i="54"/>
  <c r="K109" i="54"/>
  <c r="J109" i="54"/>
  <c r="Q108" i="54"/>
  <c r="L108" i="54"/>
  <c r="K108" i="54"/>
  <c r="J108" i="54"/>
  <c r="Q107" i="54"/>
  <c r="L107" i="54"/>
  <c r="K107" i="54"/>
  <c r="J107" i="54"/>
  <c r="Q106" i="54"/>
  <c r="L106" i="54"/>
  <c r="K106" i="54"/>
  <c r="J106" i="54"/>
  <c r="Q105" i="54"/>
  <c r="L105" i="54"/>
  <c r="K105" i="54"/>
  <c r="J105" i="54"/>
  <c r="Q104" i="54"/>
  <c r="L104" i="54"/>
  <c r="K104" i="54"/>
  <c r="J104" i="54"/>
  <c r="Q103" i="54"/>
  <c r="L103" i="54"/>
  <c r="K103" i="54"/>
  <c r="J103" i="54"/>
  <c r="Q102" i="54"/>
  <c r="L102" i="54"/>
  <c r="K102" i="54"/>
  <c r="J102" i="54"/>
  <c r="Q101" i="54"/>
  <c r="L101" i="54"/>
  <c r="K101" i="54"/>
  <c r="J101" i="54"/>
  <c r="Q100" i="54"/>
  <c r="L100" i="54"/>
  <c r="K100" i="54"/>
  <c r="J100" i="54"/>
  <c r="Q99" i="54"/>
  <c r="L99" i="54"/>
  <c r="K99" i="54"/>
  <c r="J99" i="54"/>
  <c r="Q98" i="54"/>
  <c r="L98" i="54"/>
  <c r="K98" i="54"/>
  <c r="J98" i="54"/>
  <c r="Q97" i="54"/>
  <c r="L97" i="54"/>
  <c r="K97" i="54"/>
  <c r="J97" i="54"/>
  <c r="Q96" i="54"/>
  <c r="L96" i="54"/>
  <c r="K96" i="54"/>
  <c r="J96" i="54"/>
  <c r="Q95" i="54"/>
  <c r="L95" i="54"/>
  <c r="K95" i="54"/>
  <c r="J95" i="54"/>
  <c r="Q94" i="54"/>
  <c r="L94" i="54"/>
  <c r="K94" i="54"/>
  <c r="J94" i="54"/>
  <c r="Q93" i="54"/>
  <c r="L93" i="54"/>
  <c r="K93" i="54"/>
  <c r="J93" i="54"/>
  <c r="Q92" i="54"/>
  <c r="L92" i="54"/>
  <c r="K92" i="54"/>
  <c r="J92" i="54"/>
  <c r="Q91" i="54"/>
  <c r="L91" i="54"/>
  <c r="K91" i="54"/>
  <c r="J91" i="54"/>
  <c r="Q90" i="54"/>
  <c r="L90" i="54"/>
  <c r="K90" i="54"/>
  <c r="J90" i="54"/>
  <c r="Q89" i="54"/>
  <c r="L89" i="54"/>
  <c r="K89" i="54"/>
  <c r="J89" i="54"/>
  <c r="Q88" i="54"/>
  <c r="L88" i="54"/>
  <c r="K88" i="54"/>
  <c r="J88" i="54"/>
  <c r="Q87" i="54"/>
  <c r="L87" i="54"/>
  <c r="K87" i="54"/>
  <c r="J87" i="54"/>
  <c r="Q86" i="54"/>
  <c r="L86" i="54"/>
  <c r="K86" i="54"/>
  <c r="J86" i="54"/>
  <c r="Q85" i="54"/>
  <c r="L85" i="54"/>
  <c r="K85" i="54"/>
  <c r="J85" i="54"/>
  <c r="Q84" i="54"/>
  <c r="L84" i="54"/>
  <c r="K84" i="54"/>
  <c r="J84" i="54"/>
  <c r="Q83" i="54"/>
  <c r="L83" i="54"/>
  <c r="K83" i="54"/>
  <c r="J83" i="54"/>
  <c r="Q82" i="54"/>
  <c r="L82" i="54"/>
  <c r="K82" i="54"/>
  <c r="J82" i="54"/>
  <c r="Q81" i="54"/>
  <c r="L81" i="54"/>
  <c r="K81" i="54"/>
  <c r="J81" i="54"/>
  <c r="Q80" i="54"/>
  <c r="L80" i="54"/>
  <c r="K80" i="54"/>
  <c r="J80" i="54"/>
  <c r="Q79" i="54"/>
  <c r="L79" i="54"/>
  <c r="K79" i="54"/>
  <c r="J79" i="54"/>
  <c r="Q78" i="54"/>
  <c r="L78" i="54"/>
  <c r="K78" i="54"/>
  <c r="J78" i="54"/>
  <c r="Q77" i="54"/>
  <c r="L77" i="54"/>
  <c r="K77" i="54"/>
  <c r="J77" i="54"/>
  <c r="Q76" i="54"/>
  <c r="L76" i="54"/>
  <c r="K76" i="54"/>
  <c r="J76" i="54"/>
  <c r="Q75" i="54"/>
  <c r="L75" i="54"/>
  <c r="K75" i="54"/>
  <c r="J75" i="54"/>
  <c r="Q74" i="54"/>
  <c r="L74" i="54"/>
  <c r="K74" i="54"/>
  <c r="J74" i="54"/>
  <c r="Q73" i="54"/>
  <c r="L73" i="54"/>
  <c r="K73" i="54"/>
  <c r="J73" i="54"/>
  <c r="Q72" i="54"/>
  <c r="L72" i="54"/>
  <c r="K72" i="54"/>
  <c r="J72" i="54"/>
  <c r="Q71" i="54"/>
  <c r="L71" i="54"/>
  <c r="K71" i="54"/>
  <c r="J71" i="54"/>
  <c r="Q70" i="54"/>
  <c r="L70" i="54"/>
  <c r="K70" i="54"/>
  <c r="J70" i="54"/>
  <c r="Q69" i="54"/>
  <c r="L69" i="54"/>
  <c r="K69" i="54"/>
  <c r="J69" i="54"/>
  <c r="Q68" i="54"/>
  <c r="L68" i="54"/>
  <c r="K68" i="54"/>
  <c r="J68" i="54"/>
  <c r="Q67" i="54"/>
  <c r="L67" i="54"/>
  <c r="K67" i="54"/>
  <c r="J67" i="54"/>
  <c r="Q66" i="54"/>
  <c r="L66" i="54"/>
  <c r="K66" i="54"/>
  <c r="J66" i="54"/>
  <c r="Q65" i="54"/>
  <c r="L65" i="54"/>
  <c r="K65" i="54"/>
  <c r="J65" i="54"/>
  <c r="Q64" i="54"/>
  <c r="L64" i="54"/>
  <c r="K64" i="54"/>
  <c r="J64" i="54"/>
  <c r="Q63" i="54"/>
  <c r="L63" i="54"/>
  <c r="K63" i="54"/>
  <c r="J63" i="54"/>
  <c r="Q62" i="54"/>
  <c r="L62" i="54"/>
  <c r="K62" i="54"/>
  <c r="J62" i="54"/>
  <c r="Q61" i="54"/>
  <c r="L61" i="54"/>
  <c r="K61" i="54"/>
  <c r="J61" i="54"/>
  <c r="Q60" i="54"/>
  <c r="L60" i="54"/>
  <c r="K60" i="54"/>
  <c r="J60" i="54"/>
  <c r="Q59" i="54"/>
  <c r="L59" i="54"/>
  <c r="K59" i="54"/>
  <c r="J59" i="54"/>
  <c r="Q58" i="54"/>
  <c r="L58" i="54"/>
  <c r="K58" i="54"/>
  <c r="J58" i="54"/>
  <c r="Q57" i="54"/>
  <c r="L57" i="54"/>
  <c r="K57" i="54"/>
  <c r="J57" i="54"/>
  <c r="Q56" i="54"/>
  <c r="L56" i="54"/>
  <c r="K56" i="54"/>
  <c r="J56" i="54"/>
  <c r="Q55" i="54"/>
  <c r="L55" i="54"/>
  <c r="K55" i="54"/>
  <c r="J55" i="54"/>
  <c r="Q54" i="54"/>
  <c r="L54" i="54"/>
  <c r="K54" i="54"/>
  <c r="J54" i="54"/>
  <c r="Q53" i="54"/>
  <c r="L53" i="54"/>
  <c r="K53" i="54"/>
  <c r="J53" i="54"/>
  <c r="Q52" i="54"/>
  <c r="L52" i="54"/>
  <c r="K52" i="54"/>
  <c r="J52" i="54"/>
  <c r="Q51" i="54"/>
  <c r="L51" i="54"/>
  <c r="K51" i="54"/>
  <c r="J51" i="54"/>
  <c r="Q50" i="54"/>
  <c r="L50" i="54"/>
  <c r="K50" i="54"/>
  <c r="J50" i="54"/>
  <c r="Q49" i="54"/>
  <c r="L49" i="54"/>
  <c r="K49" i="54"/>
  <c r="J49" i="54"/>
  <c r="Q48" i="54"/>
  <c r="L48" i="54"/>
  <c r="K48" i="54"/>
  <c r="J48" i="54"/>
  <c r="Q47" i="54"/>
  <c r="L47" i="54"/>
  <c r="K47" i="54"/>
  <c r="J47" i="54"/>
  <c r="Q46" i="54"/>
  <c r="L46" i="54"/>
  <c r="K46" i="54"/>
  <c r="J46" i="54"/>
  <c r="Q45" i="54"/>
  <c r="L45" i="54"/>
  <c r="K45" i="54"/>
  <c r="J45" i="54"/>
  <c r="Q44" i="54"/>
  <c r="L44" i="54"/>
  <c r="K44" i="54"/>
  <c r="J44" i="54"/>
  <c r="Q43" i="54"/>
  <c r="L43" i="54"/>
  <c r="K43" i="54"/>
  <c r="J43" i="54"/>
  <c r="Q42" i="54"/>
  <c r="L42" i="54"/>
  <c r="K42" i="54"/>
  <c r="J42" i="54"/>
  <c r="Q41" i="54"/>
  <c r="L41" i="54"/>
  <c r="K41" i="54"/>
  <c r="J41" i="54"/>
  <c r="Q40" i="54"/>
  <c r="L40" i="54"/>
  <c r="K40" i="54"/>
  <c r="J40" i="54"/>
  <c r="Q39" i="54"/>
  <c r="L39" i="54"/>
  <c r="K39" i="54"/>
  <c r="J39" i="54"/>
  <c r="Q38" i="54"/>
  <c r="L38" i="54"/>
  <c r="K38" i="54"/>
  <c r="J38" i="54"/>
  <c r="Q37" i="54"/>
  <c r="L37" i="54"/>
  <c r="K37" i="54"/>
  <c r="J37" i="54"/>
  <c r="Q36" i="54"/>
  <c r="L36" i="54"/>
  <c r="K36" i="54"/>
  <c r="J36" i="54"/>
  <c r="Q35" i="54"/>
  <c r="L35" i="54"/>
  <c r="K35" i="54"/>
  <c r="J35" i="54"/>
  <c r="Q34" i="54"/>
  <c r="L34" i="54"/>
  <c r="K34" i="54"/>
  <c r="J34" i="54"/>
  <c r="Q33" i="54"/>
  <c r="L33" i="54"/>
  <c r="K33" i="54"/>
  <c r="J33" i="54"/>
  <c r="Q32" i="54"/>
  <c r="L32" i="54"/>
  <c r="K32" i="54"/>
  <c r="J32" i="54"/>
  <c r="Q31" i="54"/>
  <c r="L31" i="54"/>
  <c r="K31" i="54"/>
  <c r="J31" i="54"/>
  <c r="Q30" i="54"/>
  <c r="L30" i="54"/>
  <c r="K30" i="54"/>
  <c r="J30" i="54"/>
  <c r="Q29" i="54"/>
  <c r="L29" i="54"/>
  <c r="K29" i="54"/>
  <c r="J29" i="54"/>
  <c r="Q28" i="54"/>
  <c r="L28" i="54"/>
  <c r="K28" i="54"/>
  <c r="J28" i="54"/>
  <c r="Q27" i="54"/>
  <c r="L27" i="54"/>
  <c r="K27" i="54"/>
  <c r="J27" i="54"/>
  <c r="Q26" i="54"/>
  <c r="L26" i="54"/>
  <c r="K26" i="54"/>
  <c r="J26" i="54"/>
  <c r="Q25" i="54"/>
  <c r="L25" i="54"/>
  <c r="K25" i="54"/>
  <c r="J25" i="54"/>
  <c r="Q24" i="54"/>
  <c r="L24" i="54"/>
  <c r="K24" i="54"/>
  <c r="J24" i="54"/>
  <c r="Q23" i="54"/>
  <c r="L23" i="54"/>
  <c r="K23" i="54"/>
  <c r="J23" i="54"/>
  <c r="Q22" i="54"/>
  <c r="L22" i="54"/>
  <c r="K22" i="54"/>
  <c r="J22" i="54"/>
  <c r="Q21" i="54"/>
  <c r="L21" i="54"/>
  <c r="K21" i="54"/>
  <c r="J21" i="54"/>
  <c r="Q20" i="54"/>
  <c r="L20" i="54"/>
  <c r="K20" i="54"/>
  <c r="J20" i="54"/>
  <c r="Q19" i="54"/>
  <c r="L19" i="54"/>
  <c r="K19" i="54"/>
  <c r="J19" i="54"/>
  <c r="Q18" i="54"/>
  <c r="L18" i="54"/>
  <c r="K18" i="54"/>
  <c r="J18" i="54"/>
  <c r="Q17" i="54"/>
  <c r="L17" i="54"/>
  <c r="K17" i="54"/>
  <c r="J17" i="54"/>
  <c r="Q16" i="54"/>
  <c r="L16" i="54"/>
  <c r="K16" i="54"/>
  <c r="J16" i="54"/>
  <c r="Q15" i="54"/>
  <c r="L15" i="54"/>
  <c r="K15" i="54"/>
  <c r="J15" i="54"/>
  <c r="Q14" i="54"/>
  <c r="L14" i="54"/>
  <c r="K14" i="54"/>
  <c r="J14" i="54"/>
  <c r="Q13" i="54"/>
  <c r="L13" i="54"/>
  <c r="K13" i="54"/>
  <c r="J13" i="54"/>
  <c r="Q12" i="54"/>
  <c r="L12" i="54"/>
  <c r="K12" i="54"/>
  <c r="J12" i="54"/>
  <c r="Q11" i="54"/>
  <c r="L11" i="54"/>
  <c r="K11" i="54"/>
  <c r="J11" i="54"/>
  <c r="Q10" i="54"/>
  <c r="L10" i="54"/>
  <c r="K10" i="54"/>
  <c r="J10" i="54"/>
  <c r="R193" i="33"/>
  <c r="I193" i="33"/>
  <c r="J204" i="33"/>
  <c r="R192" i="33"/>
  <c r="I192" i="33"/>
  <c r="Y191" i="33"/>
  <c r="R191" i="33"/>
  <c r="I191" i="33"/>
  <c r="Y190" i="33"/>
  <c r="R190" i="33"/>
  <c r="I190" i="33"/>
  <c r="Y189" i="33"/>
  <c r="R189" i="33"/>
  <c r="I189" i="33"/>
  <c r="Y188" i="33"/>
  <c r="R188" i="33"/>
  <c r="I188" i="33"/>
  <c r="Y187" i="33"/>
  <c r="R187" i="33"/>
  <c r="I187" i="33"/>
  <c r="Y186" i="33"/>
  <c r="R186" i="33"/>
  <c r="I186" i="33"/>
  <c r="R185" i="33"/>
  <c r="I185" i="33"/>
  <c r="Y184" i="33"/>
  <c r="R184" i="33"/>
  <c r="I184" i="33"/>
  <c r="Y183" i="33"/>
  <c r="R183" i="33"/>
  <c r="I183" i="33"/>
  <c r="Y182" i="33"/>
  <c r="R182" i="33"/>
  <c r="I182" i="33"/>
  <c r="R181" i="33"/>
  <c r="I181" i="33"/>
  <c r="R180" i="33"/>
  <c r="I180" i="33"/>
  <c r="R179" i="33"/>
  <c r="I179" i="33"/>
  <c r="Y178" i="33"/>
  <c r="R178" i="33"/>
  <c r="I178" i="33"/>
  <c r="Y177" i="33"/>
  <c r="R177" i="33"/>
  <c r="I177" i="33"/>
  <c r="R176" i="33"/>
  <c r="I176" i="33"/>
  <c r="R175" i="33"/>
  <c r="I175" i="33"/>
  <c r="Y174" i="33"/>
  <c r="R174" i="33"/>
  <c r="I174" i="33"/>
  <c r="Y173" i="33"/>
  <c r="R173" i="33"/>
  <c r="I173" i="33"/>
  <c r="R172" i="33"/>
  <c r="I172" i="33"/>
  <c r="R171" i="33"/>
  <c r="I171" i="33"/>
  <c r="Y170" i="33"/>
  <c r="R170" i="33"/>
  <c r="I170" i="33"/>
  <c r="Y169" i="33"/>
  <c r="R169" i="33"/>
  <c r="I169" i="33"/>
  <c r="R168" i="33"/>
  <c r="I168" i="33"/>
  <c r="Y167" i="33"/>
  <c r="R167" i="33"/>
  <c r="I167" i="33"/>
  <c r="R166" i="33"/>
  <c r="I166" i="33"/>
  <c r="Y165" i="33"/>
  <c r="R165" i="33"/>
  <c r="I165" i="33"/>
  <c r="R164" i="33"/>
  <c r="I164" i="33"/>
  <c r="R163" i="33"/>
  <c r="I163" i="33"/>
  <c r="Y162" i="33"/>
  <c r="R162" i="33"/>
  <c r="I162" i="33"/>
  <c r="R161" i="33"/>
  <c r="I161" i="33"/>
  <c r="R160" i="33"/>
  <c r="I160" i="33"/>
  <c r="Y159" i="33"/>
  <c r="R159" i="33"/>
  <c r="I159" i="33"/>
  <c r="R158" i="33"/>
  <c r="I158" i="33"/>
  <c r="Y157" i="33"/>
  <c r="R157" i="33"/>
  <c r="I157" i="33"/>
  <c r="Y156" i="33"/>
  <c r="R156" i="33"/>
  <c r="I156" i="33"/>
  <c r="Y155" i="33"/>
  <c r="R155" i="33"/>
  <c r="I155" i="33"/>
  <c r="Y154" i="33"/>
  <c r="R154" i="33"/>
  <c r="I154" i="33"/>
  <c r="Y153" i="33"/>
  <c r="R153" i="33"/>
  <c r="I153" i="33"/>
  <c r="Y152" i="33"/>
  <c r="R152" i="33"/>
  <c r="I152" i="33"/>
  <c r="R151" i="33"/>
  <c r="I151" i="33"/>
  <c r="Y150" i="33"/>
  <c r="R150" i="33"/>
  <c r="I150" i="33"/>
  <c r="R149" i="33"/>
  <c r="I149" i="33"/>
  <c r="R148" i="33"/>
  <c r="I148" i="33"/>
  <c r="R147" i="33"/>
  <c r="I147" i="33"/>
  <c r="Y146" i="33"/>
  <c r="R146" i="33"/>
  <c r="I146" i="33"/>
  <c r="Y145" i="33"/>
  <c r="R145" i="33"/>
  <c r="I145" i="33"/>
  <c r="Y144" i="33"/>
  <c r="R144" i="33"/>
  <c r="I144" i="33"/>
  <c r="R143" i="33"/>
  <c r="I143" i="33"/>
  <c r="Y142" i="33"/>
  <c r="R142" i="33"/>
  <c r="I142" i="33"/>
  <c r="R141" i="33"/>
  <c r="I141" i="33"/>
  <c r="Y140" i="33"/>
  <c r="R140" i="33"/>
  <c r="I140" i="33"/>
  <c r="R139" i="33"/>
  <c r="I139" i="33"/>
  <c r="Y138" i="33"/>
  <c r="R138" i="33"/>
  <c r="I138" i="33"/>
  <c r="Y137" i="33"/>
  <c r="R137" i="33"/>
  <c r="I137" i="33"/>
  <c r="R136" i="33"/>
  <c r="I136" i="33"/>
  <c r="R135" i="33"/>
  <c r="I135" i="33"/>
  <c r="Y134" i="33"/>
  <c r="R134" i="33"/>
  <c r="I134" i="33"/>
  <c r="Y133" i="33"/>
  <c r="R133" i="33"/>
  <c r="I133" i="33"/>
  <c r="R132" i="33"/>
  <c r="I132" i="33"/>
  <c r="Y131" i="33"/>
  <c r="R131" i="33"/>
  <c r="I131" i="33"/>
  <c r="Y130" i="33"/>
  <c r="R130" i="33"/>
  <c r="I130" i="33"/>
  <c r="Y129" i="33"/>
  <c r="R129" i="33"/>
  <c r="I129" i="33"/>
  <c r="Y128" i="33"/>
  <c r="R128" i="33"/>
  <c r="I128" i="33"/>
  <c r="Y127" i="33"/>
  <c r="R127" i="33"/>
  <c r="I127" i="33"/>
  <c r="Y126" i="33"/>
  <c r="R126" i="33"/>
  <c r="I126" i="33"/>
  <c r="Y125" i="33"/>
  <c r="R125" i="33"/>
  <c r="I125" i="33"/>
  <c r="Y124" i="33"/>
  <c r="R124" i="33"/>
  <c r="I124" i="33"/>
  <c r="R123" i="33"/>
  <c r="I123" i="33"/>
  <c r="R122" i="33"/>
  <c r="I122" i="33"/>
  <c r="Y121" i="33"/>
  <c r="R121" i="33"/>
  <c r="I121" i="33"/>
  <c r="Y120" i="33"/>
  <c r="R120" i="33"/>
  <c r="I120" i="33"/>
  <c r="Y119" i="33"/>
  <c r="R119" i="33"/>
  <c r="I119" i="33"/>
  <c r="Y118" i="33"/>
  <c r="R118" i="33"/>
  <c r="I118" i="33"/>
  <c r="Y117" i="33"/>
  <c r="R117" i="33"/>
  <c r="I117" i="33"/>
  <c r="Y116" i="33"/>
  <c r="R116" i="33"/>
  <c r="I116" i="33"/>
  <c r="Y115" i="33"/>
  <c r="R115" i="33"/>
  <c r="I115" i="33"/>
  <c r="R114" i="33"/>
  <c r="I114" i="33"/>
  <c r="R113" i="33"/>
  <c r="I113" i="33"/>
  <c r="R112" i="33"/>
  <c r="I112" i="33"/>
  <c r="R111" i="33"/>
  <c r="I111" i="33"/>
  <c r="Y110" i="33"/>
  <c r="R110" i="33"/>
  <c r="M110" i="33"/>
  <c r="L110" i="33"/>
  <c r="I110" i="33"/>
  <c r="Y109" i="33"/>
  <c r="R109" i="33"/>
  <c r="N109" i="33"/>
  <c r="I109" i="33"/>
  <c r="R108" i="33"/>
  <c r="N108" i="33"/>
  <c r="I108" i="33"/>
  <c r="R107" i="33"/>
  <c r="N107" i="33"/>
  <c r="I107" i="33"/>
  <c r="Y106" i="33"/>
  <c r="R106" i="33"/>
  <c r="N106" i="33"/>
  <c r="I106" i="33"/>
  <c r="Y105" i="33"/>
  <c r="R105" i="33"/>
  <c r="N105" i="33"/>
  <c r="I105" i="33"/>
  <c r="Y104" i="33"/>
  <c r="R104" i="33"/>
  <c r="N104" i="33"/>
  <c r="I104" i="33"/>
  <c r="R103" i="33"/>
  <c r="N103" i="33"/>
  <c r="I103" i="33"/>
  <c r="Y102" i="33"/>
  <c r="R102" i="33"/>
  <c r="N102" i="33"/>
  <c r="I102" i="33"/>
  <c r="Y101" i="33"/>
  <c r="R101" i="33"/>
  <c r="N101" i="33"/>
  <c r="I101" i="33"/>
  <c r="R100" i="33"/>
  <c r="N100" i="33"/>
  <c r="I100" i="33"/>
  <c r="Y99" i="33"/>
  <c r="R99" i="33"/>
  <c r="N99" i="33"/>
  <c r="I99" i="33"/>
  <c r="Y98" i="33"/>
  <c r="R98" i="33"/>
  <c r="N98" i="33"/>
  <c r="I98" i="33"/>
  <c r="R97" i="33"/>
  <c r="N97" i="33"/>
  <c r="I97" i="33"/>
  <c r="R96" i="33"/>
  <c r="N96" i="33"/>
  <c r="I96" i="33"/>
  <c r="Y95" i="33"/>
  <c r="R95" i="33"/>
  <c r="N95" i="33"/>
  <c r="I95" i="33"/>
  <c r="R94" i="33"/>
  <c r="N94" i="33"/>
  <c r="I94" i="33"/>
  <c r="R93" i="33"/>
  <c r="N93" i="33"/>
  <c r="I93" i="33"/>
  <c r="R92" i="33"/>
  <c r="N92" i="33"/>
  <c r="I92" i="33"/>
  <c r="Y91" i="33"/>
  <c r="R91" i="33"/>
  <c r="N91" i="33"/>
  <c r="I91" i="33"/>
  <c r="R90" i="33"/>
  <c r="N90" i="33"/>
  <c r="I90" i="33"/>
  <c r="R89" i="33"/>
  <c r="N89" i="33"/>
  <c r="I89" i="33"/>
  <c r="R88" i="33"/>
  <c r="N88" i="33"/>
  <c r="I88" i="33"/>
  <c r="R87" i="33"/>
  <c r="N87" i="33"/>
  <c r="I87" i="33"/>
  <c r="R86" i="33"/>
  <c r="N86" i="33"/>
  <c r="I86" i="33"/>
  <c r="Y85" i="33"/>
  <c r="R85" i="33"/>
  <c r="N85" i="33"/>
  <c r="I85" i="33"/>
  <c r="Y84" i="33"/>
  <c r="Z84" i="33"/>
  <c r="R84" i="33"/>
  <c r="N84" i="33"/>
  <c r="O84" i="33"/>
  <c r="I84" i="33"/>
  <c r="Y83" i="33"/>
  <c r="Z83" i="33"/>
  <c r="R83" i="33"/>
  <c r="N83" i="33"/>
  <c r="I83" i="33"/>
  <c r="Y82" i="33"/>
  <c r="Z82" i="33"/>
  <c r="R82" i="33"/>
  <c r="N82" i="33"/>
  <c r="I82" i="33"/>
  <c r="Z81" i="33"/>
  <c r="R81" i="33"/>
  <c r="N81" i="33"/>
  <c r="I81" i="33"/>
  <c r="Y80" i="33"/>
  <c r="Z80" i="33"/>
  <c r="R80" i="33"/>
  <c r="N80" i="33"/>
  <c r="I80" i="33"/>
  <c r="Z79" i="33"/>
  <c r="R79" i="33"/>
  <c r="N79" i="33"/>
  <c r="I79" i="33"/>
  <c r="Z78" i="33"/>
  <c r="R78" i="33"/>
  <c r="N78" i="33"/>
  <c r="I78" i="33"/>
  <c r="Y77" i="33"/>
  <c r="Z77" i="33"/>
  <c r="R77" i="33"/>
  <c r="N77" i="33"/>
  <c r="I77" i="33"/>
  <c r="Y76" i="33"/>
  <c r="Z76" i="33"/>
  <c r="R76" i="33"/>
  <c r="S76" i="33"/>
  <c r="N76" i="33"/>
  <c r="I76" i="33"/>
  <c r="Y75" i="33"/>
  <c r="Z75" i="33"/>
  <c r="R75" i="33"/>
  <c r="S75" i="33"/>
  <c r="N75" i="33"/>
  <c r="I75" i="33"/>
  <c r="Y74" i="33"/>
  <c r="Z74" i="33"/>
  <c r="R74" i="33"/>
  <c r="S74" i="33"/>
  <c r="N74" i="33"/>
  <c r="I74" i="33"/>
  <c r="Y73" i="33"/>
  <c r="Z73" i="33"/>
  <c r="R73" i="33"/>
  <c r="S73" i="33"/>
  <c r="N73" i="33"/>
  <c r="I73" i="33"/>
  <c r="Y72" i="33"/>
  <c r="Z72" i="33"/>
  <c r="R72" i="33"/>
  <c r="N72" i="33"/>
  <c r="I72" i="33"/>
  <c r="Y71" i="33"/>
  <c r="Z71" i="33"/>
  <c r="R71" i="33"/>
  <c r="N71" i="33"/>
  <c r="I71" i="33"/>
  <c r="Y70" i="33"/>
  <c r="Z70" i="33"/>
  <c r="R70" i="33"/>
  <c r="N70" i="33"/>
  <c r="I70" i="33"/>
  <c r="Y69" i="33"/>
  <c r="Z69" i="33"/>
  <c r="R69" i="33"/>
  <c r="N69" i="33"/>
  <c r="I69" i="33"/>
  <c r="Y68" i="33"/>
  <c r="Z68" i="33"/>
  <c r="R68" i="33"/>
  <c r="N68" i="33"/>
  <c r="I68" i="33"/>
  <c r="Z67" i="33"/>
  <c r="R67" i="33"/>
  <c r="N67" i="33"/>
  <c r="I67" i="33"/>
  <c r="Y66" i="33"/>
  <c r="Z66" i="33"/>
  <c r="R66" i="33"/>
  <c r="N66" i="33"/>
  <c r="I66" i="33"/>
  <c r="Y65" i="33"/>
  <c r="Z65" i="33"/>
  <c r="R65" i="33"/>
  <c r="N65" i="33"/>
  <c r="I65" i="33"/>
  <c r="Y64" i="33"/>
  <c r="Z64" i="33"/>
  <c r="R64" i="33"/>
  <c r="N64" i="33"/>
  <c r="I64" i="33"/>
  <c r="Y63" i="33"/>
  <c r="Z63" i="33"/>
  <c r="R63" i="33"/>
  <c r="N63" i="33"/>
  <c r="I63" i="33"/>
  <c r="Z62" i="33"/>
  <c r="R62" i="33"/>
  <c r="N62" i="33"/>
  <c r="I62" i="33"/>
  <c r="Y61" i="33"/>
  <c r="Z61" i="33"/>
  <c r="R61" i="33"/>
  <c r="N61" i="33"/>
  <c r="I61" i="33"/>
  <c r="Z60" i="33"/>
  <c r="R60" i="33"/>
  <c r="N60" i="33"/>
  <c r="I60" i="33"/>
  <c r="Z59" i="33"/>
  <c r="R59" i="33"/>
  <c r="N59" i="33"/>
  <c r="I59" i="33"/>
  <c r="Z58" i="33"/>
  <c r="R58" i="33"/>
  <c r="N58" i="33"/>
  <c r="I58" i="33"/>
  <c r="Z57" i="33"/>
  <c r="R57" i="33"/>
  <c r="N57" i="33"/>
  <c r="I57" i="33"/>
  <c r="Y56" i="33"/>
  <c r="Z56" i="33"/>
  <c r="R56" i="33"/>
  <c r="N56" i="33"/>
  <c r="I56" i="33"/>
  <c r="Z55" i="33"/>
  <c r="R55" i="33"/>
  <c r="N55" i="33"/>
  <c r="I55" i="33"/>
  <c r="Z54" i="33"/>
  <c r="R54" i="33"/>
  <c r="N54" i="33"/>
  <c r="I54" i="33"/>
  <c r="Y53" i="33"/>
  <c r="Z53" i="33"/>
  <c r="R53" i="33"/>
  <c r="N53" i="33"/>
  <c r="I53" i="33"/>
  <c r="Y52" i="33"/>
  <c r="Z52" i="33"/>
  <c r="R52" i="33"/>
  <c r="N52" i="33"/>
  <c r="I52" i="33"/>
  <c r="Y51" i="33"/>
  <c r="Z51" i="33"/>
  <c r="R51" i="33"/>
  <c r="N51" i="33"/>
  <c r="I51" i="33"/>
  <c r="Z50" i="33"/>
  <c r="R50" i="33"/>
  <c r="N50" i="33"/>
  <c r="I50" i="33"/>
  <c r="Z49" i="33"/>
  <c r="R49" i="33"/>
  <c r="N49" i="33"/>
  <c r="I49" i="33"/>
  <c r="Z48" i="33"/>
  <c r="R48" i="33"/>
  <c r="N48" i="33"/>
  <c r="I48" i="33"/>
  <c r="Z47" i="33"/>
  <c r="R47" i="33"/>
  <c r="N47" i="33"/>
  <c r="I47" i="33"/>
  <c r="Z46" i="33"/>
  <c r="R46" i="33"/>
  <c r="N46" i="33"/>
  <c r="I46" i="33"/>
  <c r="Y45" i="33"/>
  <c r="Z45" i="33"/>
  <c r="R45" i="33"/>
  <c r="N45" i="33"/>
  <c r="I45" i="33"/>
  <c r="Y44" i="33"/>
  <c r="Z44" i="33"/>
  <c r="R44" i="33"/>
  <c r="N44" i="33"/>
  <c r="I44" i="33"/>
  <c r="Z43" i="33"/>
  <c r="R43" i="33"/>
  <c r="N43" i="33"/>
  <c r="I43" i="33"/>
  <c r="Y42" i="33"/>
  <c r="Z42" i="33"/>
  <c r="R42" i="33"/>
  <c r="N42" i="33"/>
  <c r="I42" i="33"/>
  <c r="Y41" i="33"/>
  <c r="Z41" i="33"/>
  <c r="R41" i="33"/>
  <c r="N41" i="33"/>
  <c r="I41" i="33"/>
  <c r="Y40" i="33"/>
  <c r="Z40" i="33"/>
  <c r="R40" i="33"/>
  <c r="N40" i="33"/>
  <c r="I40" i="33"/>
  <c r="Z39" i="33"/>
  <c r="R39" i="33"/>
  <c r="N39" i="33"/>
  <c r="I39" i="33"/>
  <c r="Z38" i="33"/>
  <c r="R38" i="33"/>
  <c r="N38" i="33"/>
  <c r="I38" i="33"/>
  <c r="Y37" i="33"/>
  <c r="Z37" i="33"/>
  <c r="R37" i="33"/>
  <c r="N37" i="33"/>
  <c r="I37" i="33"/>
  <c r="Z36" i="33"/>
  <c r="R36" i="33"/>
  <c r="N36" i="33"/>
  <c r="I36" i="33"/>
  <c r="Y35" i="33"/>
  <c r="Z35" i="33"/>
  <c r="R35" i="33"/>
  <c r="S35" i="33"/>
  <c r="N35" i="33"/>
  <c r="I35" i="33"/>
  <c r="Y34" i="33"/>
  <c r="Z34" i="33"/>
  <c r="R34" i="33"/>
  <c r="S34" i="33"/>
  <c r="N34" i="33"/>
  <c r="I34" i="33"/>
  <c r="Z33" i="33"/>
  <c r="R33" i="33"/>
  <c r="S33" i="33"/>
  <c r="N33" i="33"/>
  <c r="I33" i="33"/>
  <c r="Z32" i="33"/>
  <c r="R32" i="33"/>
  <c r="S32" i="33"/>
  <c r="N32" i="33"/>
  <c r="I32" i="33"/>
  <c r="Y31" i="33"/>
  <c r="Z31" i="33"/>
  <c r="R31" i="33"/>
  <c r="S31" i="33"/>
  <c r="N31" i="33"/>
  <c r="I31" i="33"/>
  <c r="Y30" i="33"/>
  <c r="Z30" i="33"/>
  <c r="R30" i="33"/>
  <c r="S30" i="33"/>
  <c r="N30" i="33"/>
  <c r="I30" i="33"/>
  <c r="Y29" i="33"/>
  <c r="Z29" i="33"/>
  <c r="R29" i="33"/>
  <c r="N29" i="33"/>
  <c r="I29" i="33"/>
  <c r="Y28" i="33"/>
  <c r="Z28" i="33"/>
  <c r="R28" i="33"/>
  <c r="N28" i="33"/>
  <c r="I28" i="33"/>
  <c r="Y27" i="33"/>
  <c r="Z27" i="33"/>
  <c r="R27" i="33"/>
  <c r="N27" i="33"/>
  <c r="I27" i="33"/>
  <c r="Y26" i="33"/>
  <c r="Z26" i="33"/>
  <c r="R26" i="33"/>
  <c r="N26" i="33"/>
  <c r="I26" i="33"/>
  <c r="R25" i="33"/>
  <c r="N25" i="33"/>
  <c r="I25" i="33"/>
  <c r="Y24" i="33"/>
  <c r="R24" i="33"/>
  <c r="N24" i="33"/>
  <c r="I24" i="33"/>
  <c r="Y23" i="33"/>
  <c r="R23" i="33"/>
  <c r="N23" i="33"/>
  <c r="I23" i="33"/>
  <c r="Y22" i="33"/>
  <c r="R22" i="33"/>
  <c r="N22" i="33"/>
  <c r="I22" i="33"/>
  <c r="Y21" i="33"/>
  <c r="R21" i="33"/>
  <c r="N21" i="33"/>
  <c r="I21" i="33"/>
  <c r="R20" i="33"/>
  <c r="N20" i="33"/>
  <c r="I20" i="33"/>
  <c r="Y19" i="33"/>
  <c r="R19" i="33"/>
  <c r="N19" i="33"/>
  <c r="I19" i="33"/>
  <c r="Y18" i="33"/>
  <c r="R18" i="33"/>
  <c r="N18" i="33"/>
  <c r="I18" i="33"/>
  <c r="Y17" i="33"/>
  <c r="R17" i="33"/>
  <c r="N17" i="33"/>
  <c r="I17" i="33"/>
  <c r="R16" i="33"/>
  <c r="N16" i="33"/>
  <c r="I16" i="33"/>
  <c r="Y15" i="33"/>
  <c r="R15" i="33"/>
  <c r="N15" i="33"/>
  <c r="I15" i="33"/>
  <c r="R14" i="33"/>
  <c r="N14" i="33"/>
  <c r="I14" i="33"/>
  <c r="S280" i="33"/>
  <c r="S288" i="33"/>
  <c r="S285" i="33"/>
  <c r="S282" i="33"/>
  <c r="S279" i="33"/>
  <c r="S287" i="33"/>
  <c r="S286" i="33"/>
  <c r="S283" i="33"/>
  <c r="S284" i="33"/>
  <c r="S281" i="33"/>
  <c r="S289" i="33"/>
  <c r="S278" i="33"/>
  <c r="S268" i="33"/>
  <c r="S276" i="33"/>
  <c r="S271" i="33"/>
  <c r="S270" i="33"/>
  <c r="S273" i="33"/>
  <c r="S272" i="33"/>
  <c r="S267" i="33"/>
  <c r="S275" i="33"/>
  <c r="S266" i="33"/>
  <c r="S274" i="33"/>
  <c r="S269" i="33"/>
  <c r="S277" i="33"/>
  <c r="S257" i="33"/>
  <c r="S256" i="33"/>
  <c r="S255" i="33"/>
  <c r="S259" i="33"/>
  <c r="S254" i="33"/>
  <c r="S258" i="33"/>
  <c r="S263" i="33"/>
  <c r="S264" i="33"/>
  <c r="S261" i="33"/>
  <c r="S265" i="33"/>
  <c r="S260" i="33"/>
  <c r="S262" i="33"/>
  <c r="S251" i="33"/>
  <c r="S252" i="33"/>
  <c r="S253" i="33"/>
  <c r="Z242" i="33"/>
  <c r="Z241" i="33"/>
  <c r="S249" i="33"/>
  <c r="S242" i="33"/>
  <c r="S246" i="33"/>
  <c r="S245" i="33"/>
  <c r="S250" i="33"/>
  <c r="S244" i="33"/>
  <c r="S248" i="33"/>
  <c r="S243" i="33"/>
  <c r="S247" i="33"/>
  <c r="Z239" i="33"/>
  <c r="S239" i="33"/>
  <c r="S235" i="33"/>
  <c r="S230" i="33"/>
  <c r="S237" i="33"/>
  <c r="S233" i="33"/>
  <c r="S238" i="33"/>
  <c r="S241" i="33"/>
  <c r="S240" i="33"/>
  <c r="S232" i="33"/>
  <c r="S236" i="33"/>
  <c r="S234" i="33"/>
  <c r="S231" i="33"/>
  <c r="Z236" i="33"/>
  <c r="Z237" i="33"/>
  <c r="Z238" i="33"/>
  <c r="O109" i="33"/>
  <c r="S219" i="33"/>
  <c r="S220" i="33"/>
  <c r="Z98" i="33"/>
  <c r="Z99" i="33"/>
  <c r="Z109" i="33"/>
  <c r="Z115" i="33"/>
  <c r="Z119" i="33"/>
  <c r="Z125" i="33"/>
  <c r="Z129" i="33"/>
  <c r="Z138" i="33"/>
  <c r="Z155" i="33"/>
  <c r="Z174" i="33"/>
  <c r="Z188" i="33"/>
  <c r="S218" i="33"/>
  <c r="S226" i="33"/>
  <c r="S227" i="33"/>
  <c r="S228" i="33"/>
  <c r="S221" i="33"/>
  <c r="S229" i="33"/>
  <c r="S222" i="33"/>
  <c r="S223" i="33"/>
  <c r="S224" i="33"/>
  <c r="S225" i="33"/>
  <c r="Z91" i="33"/>
  <c r="Z110" i="33"/>
  <c r="Z118" i="33"/>
  <c r="Z124" i="33"/>
  <c r="Z128" i="33"/>
  <c r="Z137" i="33"/>
  <c r="Z140" i="33"/>
  <c r="Z146" i="33"/>
  <c r="Z154" i="33"/>
  <c r="Z165" i="33"/>
  <c r="Z173" i="33"/>
  <c r="Z184" i="33"/>
  <c r="Z187" i="33"/>
  <c r="Z191" i="33"/>
  <c r="J194" i="33"/>
  <c r="S215" i="33"/>
  <c r="S217" i="33"/>
  <c r="S216" i="33"/>
  <c r="P95" i="54"/>
  <c r="P96" i="54"/>
  <c r="P97" i="54"/>
  <c r="P98" i="54"/>
  <c r="P99" i="54"/>
  <c r="P100" i="54"/>
  <c r="P101" i="54"/>
  <c r="P102" i="54"/>
  <c r="P103" i="54"/>
  <c r="P104" i="54"/>
  <c r="P105" i="54"/>
  <c r="P106" i="54"/>
  <c r="P107" i="54"/>
  <c r="P108" i="54"/>
  <c r="P109" i="54"/>
  <c r="P110" i="54"/>
  <c r="P111" i="54"/>
  <c r="P112" i="54"/>
  <c r="P113" i="54"/>
  <c r="P114" i="54"/>
  <c r="P115" i="54"/>
  <c r="P116" i="54"/>
  <c r="P117" i="54"/>
  <c r="O23" i="33"/>
  <c r="O24" i="33"/>
  <c r="O25" i="33"/>
  <c r="S214" i="33"/>
  <c r="S213" i="33"/>
  <c r="R95" i="54"/>
  <c r="F94" i="52"/>
  <c r="H94" i="52"/>
  <c r="I94" i="52" s="1"/>
  <c r="R96" i="54"/>
  <c r="F95" i="52"/>
  <c r="H95" i="52"/>
  <c r="I95" i="52" s="1"/>
  <c r="R97" i="54"/>
  <c r="F96" i="52"/>
  <c r="H96" i="52"/>
  <c r="I96" i="52" s="1"/>
  <c r="R98" i="54"/>
  <c r="F97" i="52"/>
  <c r="H97" i="52"/>
  <c r="I97" i="52" s="1"/>
  <c r="R99" i="54"/>
  <c r="F98" i="52"/>
  <c r="H98" i="52"/>
  <c r="I98" i="52" s="1"/>
  <c r="R100" i="54"/>
  <c r="F99" i="52"/>
  <c r="H99" i="52"/>
  <c r="I99" i="52" s="1"/>
  <c r="R101" i="54"/>
  <c r="F100" i="52"/>
  <c r="H100" i="52"/>
  <c r="I100" i="52" s="1"/>
  <c r="R102" i="54"/>
  <c r="F101" i="52"/>
  <c r="H101" i="52"/>
  <c r="I101" i="52"/>
  <c r="R103" i="54"/>
  <c r="F102" i="52"/>
  <c r="H102" i="52"/>
  <c r="I102" i="52"/>
  <c r="R104" i="54"/>
  <c r="F103" i="52"/>
  <c r="H103" i="52"/>
  <c r="I103" i="52"/>
  <c r="R105" i="54"/>
  <c r="F104" i="52"/>
  <c r="H104" i="52"/>
  <c r="I104" i="52"/>
  <c r="R106" i="54"/>
  <c r="F105" i="52"/>
  <c r="H105" i="52"/>
  <c r="I105" i="52"/>
  <c r="R107" i="54"/>
  <c r="F106" i="52"/>
  <c r="H106" i="52" s="1"/>
  <c r="I106" i="52" s="1"/>
  <c r="R108" i="54"/>
  <c r="F107" i="52"/>
  <c r="H107" i="52"/>
  <c r="I107" i="52"/>
  <c r="R109" i="54"/>
  <c r="F108" i="52"/>
  <c r="H108" i="52" s="1"/>
  <c r="I108" i="52" s="1"/>
  <c r="R110" i="54"/>
  <c r="F109" i="52"/>
  <c r="H109" i="52" s="1"/>
  <c r="I109" i="52" s="1"/>
  <c r="R111" i="54"/>
  <c r="F110" i="52"/>
  <c r="H110" i="52" s="1"/>
  <c r="I110" i="52" s="1"/>
  <c r="R112" i="54"/>
  <c r="F111" i="52"/>
  <c r="H111" i="52" s="1"/>
  <c r="I111" i="52" s="1"/>
  <c r="R113" i="54"/>
  <c r="F112" i="52"/>
  <c r="H112" i="52" s="1"/>
  <c r="I112" i="52" s="1"/>
  <c r="R114" i="54"/>
  <c r="F113" i="52"/>
  <c r="H113" i="52" s="1"/>
  <c r="I113" i="52" s="1"/>
  <c r="R115" i="54"/>
  <c r="F114" i="52"/>
  <c r="H114" i="52" s="1"/>
  <c r="I114" i="52" s="1"/>
  <c r="R116" i="54"/>
  <c r="F115" i="52"/>
  <c r="H115" i="52" s="1"/>
  <c r="I115" i="52" s="1"/>
  <c r="R117" i="54"/>
  <c r="F116" i="52"/>
  <c r="H116" i="52" s="1"/>
  <c r="I116" i="52" s="1"/>
  <c r="O14" i="33"/>
  <c r="S15" i="33"/>
  <c r="S16" i="33"/>
  <c r="S212" i="33"/>
  <c r="S211" i="33"/>
  <c r="S209" i="33"/>
  <c r="S210" i="33"/>
  <c r="S208" i="33"/>
  <c r="S207" i="33"/>
  <c r="S206" i="33"/>
  <c r="J26" i="33"/>
  <c r="O17" i="33"/>
  <c r="O18" i="33"/>
  <c r="O19" i="33"/>
  <c r="O20" i="33"/>
  <c r="S21" i="33"/>
  <c r="S22" i="33"/>
  <c r="S23" i="33"/>
  <c r="S24" i="33"/>
  <c r="S25" i="33"/>
  <c r="S43" i="33"/>
  <c r="S44" i="33"/>
  <c r="S45" i="33"/>
  <c r="S46" i="33"/>
  <c r="S47" i="33"/>
  <c r="S48" i="33"/>
  <c r="S49" i="33"/>
  <c r="S50" i="33"/>
  <c r="S51" i="33"/>
  <c r="S52" i="33"/>
  <c r="Z85" i="33"/>
  <c r="Z87" i="33"/>
  <c r="Z103" i="33"/>
  <c r="Z107" i="33"/>
  <c r="Z111" i="33"/>
  <c r="Z123" i="33"/>
  <c r="Z135" i="33"/>
  <c r="Z139" i="33"/>
  <c r="Z143" i="33"/>
  <c r="Z147" i="33"/>
  <c r="Z151" i="33"/>
  <c r="Z163" i="33"/>
  <c r="Z171" i="33"/>
  <c r="Z175" i="33"/>
  <c r="Z179" i="33"/>
  <c r="Z199" i="33"/>
  <c r="Z203" i="33"/>
  <c r="Z88" i="33"/>
  <c r="Z92" i="33"/>
  <c r="Z96" i="33"/>
  <c r="Z100" i="33"/>
  <c r="Z108" i="33"/>
  <c r="Z112" i="33"/>
  <c r="Z132" i="33"/>
  <c r="Z136" i="33"/>
  <c r="Z148" i="33"/>
  <c r="Z160" i="33"/>
  <c r="Z164" i="33"/>
  <c r="Z168" i="33"/>
  <c r="Z172" i="33"/>
  <c r="Z176" i="33"/>
  <c r="Z180" i="33"/>
  <c r="Z192" i="33"/>
  <c r="Z86" i="33"/>
  <c r="Z89" i="33"/>
  <c r="Z93" i="33"/>
  <c r="Z97" i="33"/>
  <c r="Z113" i="33"/>
  <c r="Z141" i="33"/>
  <c r="Z149" i="33"/>
  <c r="Z161" i="33"/>
  <c r="Z181" i="33"/>
  <c r="Z185" i="33"/>
  <c r="Z90" i="33"/>
  <c r="Z122" i="33"/>
  <c r="Z194" i="33"/>
  <c r="Z202" i="33"/>
  <c r="Z94" i="33"/>
  <c r="Z158" i="33"/>
  <c r="Z197" i="33"/>
  <c r="Z114" i="33"/>
  <c r="Z198" i="33"/>
  <c r="Z166" i="33"/>
  <c r="Z193" i="33"/>
  <c r="Z201" i="33"/>
  <c r="Z200" i="33"/>
  <c r="Z196" i="33"/>
  <c r="Z195" i="33"/>
  <c r="Z95" i="33"/>
  <c r="Z104" i="33"/>
  <c r="Z105" i="33"/>
  <c r="Z106" i="33"/>
  <c r="Z117" i="33"/>
  <c r="Z121" i="33"/>
  <c r="Z127" i="33"/>
  <c r="Z131" i="33"/>
  <c r="Z134" i="33"/>
  <c r="Z142" i="33"/>
  <c r="Z145" i="33"/>
  <c r="Z150" i="33"/>
  <c r="Z153" i="33"/>
  <c r="Z157" i="33"/>
  <c r="Z162" i="33"/>
  <c r="Z167" i="33"/>
  <c r="Z170" i="33"/>
  <c r="Z178" i="33"/>
  <c r="Z183" i="33"/>
  <c r="Z186" i="33"/>
  <c r="Z190" i="33"/>
  <c r="S64" i="33"/>
  <c r="S65" i="33"/>
  <c r="S66" i="33"/>
  <c r="S67" i="33"/>
  <c r="S68" i="33"/>
  <c r="Z101" i="33"/>
  <c r="Z102" i="33"/>
  <c r="Z116" i="33"/>
  <c r="Z120" i="33"/>
  <c r="Z126" i="33"/>
  <c r="Z130" i="33"/>
  <c r="Z133" i="33"/>
  <c r="Z144" i="33"/>
  <c r="Z152" i="33"/>
  <c r="Z156" i="33"/>
  <c r="Z159" i="33"/>
  <c r="Z169" i="33"/>
  <c r="Z177" i="33"/>
  <c r="Z182" i="33"/>
  <c r="Z189" i="33"/>
  <c r="P77" i="54"/>
  <c r="R77" i="54"/>
  <c r="F76" i="52"/>
  <c r="H76" i="52" s="1"/>
  <c r="I76" i="52" s="1"/>
  <c r="P78" i="54"/>
  <c r="R78" i="54"/>
  <c r="F77" i="52"/>
  <c r="H77" i="52"/>
  <c r="I77" i="52" s="1"/>
  <c r="P79" i="54"/>
  <c r="R79" i="54"/>
  <c r="F78" i="52"/>
  <c r="H78" i="52" s="1"/>
  <c r="I78" i="52" s="1"/>
  <c r="P80" i="54"/>
  <c r="R80" i="54"/>
  <c r="F79" i="52"/>
  <c r="H79" i="52" s="1"/>
  <c r="I79" i="52" s="1"/>
  <c r="P81" i="54"/>
  <c r="R81" i="54"/>
  <c r="F80" i="52"/>
  <c r="H80" i="52" s="1"/>
  <c r="I80" i="52" s="1"/>
  <c r="P82" i="54"/>
  <c r="R82" i="54"/>
  <c r="F81" i="52"/>
  <c r="G81" i="52"/>
  <c r="P83" i="54"/>
  <c r="R83" i="54"/>
  <c r="F82" i="52"/>
  <c r="H82" i="52"/>
  <c r="I82" i="52" s="1"/>
  <c r="P84" i="54"/>
  <c r="R84" i="54"/>
  <c r="F83" i="52"/>
  <c r="H83" i="52" s="1"/>
  <c r="I83" i="52" s="1"/>
  <c r="P85" i="54"/>
  <c r="R85" i="54"/>
  <c r="F84" i="52"/>
  <c r="H84" i="52" s="1"/>
  <c r="I84" i="52" s="1"/>
  <c r="P86" i="54"/>
  <c r="R86" i="54"/>
  <c r="F85" i="52"/>
  <c r="H85" i="52" s="1"/>
  <c r="I85" i="52" s="1"/>
  <c r="P87" i="54"/>
  <c r="R87" i="54"/>
  <c r="F86" i="52"/>
  <c r="H86" i="52"/>
  <c r="I86" i="52" s="1"/>
  <c r="P88" i="54"/>
  <c r="R88" i="54"/>
  <c r="F87" i="52"/>
  <c r="H87" i="52" s="1"/>
  <c r="I87" i="52" s="1"/>
  <c r="P89" i="54"/>
  <c r="R89" i="54"/>
  <c r="F88" i="52"/>
  <c r="H88" i="52" s="1"/>
  <c r="I88" i="52" s="1"/>
  <c r="P90" i="54"/>
  <c r="R90" i="54"/>
  <c r="F89" i="52"/>
  <c r="G89" i="52" s="1"/>
  <c r="P91" i="54"/>
  <c r="R91" i="54"/>
  <c r="F90" i="52"/>
  <c r="H90" i="52" s="1"/>
  <c r="I90" i="52" s="1"/>
  <c r="P92" i="54"/>
  <c r="R92" i="54"/>
  <c r="F91" i="52"/>
  <c r="H91" i="52" s="1"/>
  <c r="I91" i="52" s="1"/>
  <c r="P93" i="54"/>
  <c r="R93" i="54"/>
  <c r="F92" i="52"/>
  <c r="H92" i="52" s="1"/>
  <c r="I92" i="52" s="1"/>
  <c r="P94" i="54"/>
  <c r="R94" i="54"/>
  <c r="F93" i="52"/>
  <c r="H93" i="52"/>
  <c r="I93" i="52" s="1"/>
  <c r="S14" i="33"/>
  <c r="S17" i="33"/>
  <c r="S18" i="33"/>
  <c r="S19" i="33"/>
  <c r="S20" i="33"/>
  <c r="S26" i="33"/>
  <c r="S27" i="33"/>
  <c r="J39" i="33"/>
  <c r="S28" i="33"/>
  <c r="S29" i="33"/>
  <c r="S36" i="33"/>
  <c r="S37" i="33"/>
  <c r="S38" i="33"/>
  <c r="S39" i="33"/>
  <c r="S40" i="33"/>
  <c r="S41" i="33"/>
  <c r="S42" i="33"/>
  <c r="S53" i="33"/>
  <c r="S54" i="33"/>
  <c r="S55" i="33"/>
  <c r="S56" i="33"/>
  <c r="S57" i="33"/>
  <c r="S58" i="33"/>
  <c r="S59" i="33"/>
  <c r="S60" i="33"/>
  <c r="S61" i="33"/>
  <c r="S62" i="33"/>
  <c r="S63" i="33"/>
  <c r="S69" i="33"/>
  <c r="S70" i="33"/>
  <c r="S71" i="33"/>
  <c r="S72" i="33"/>
  <c r="S77" i="33"/>
  <c r="J107" i="33"/>
  <c r="J164" i="33"/>
  <c r="J167" i="33"/>
  <c r="J197" i="33"/>
  <c r="J200" i="33"/>
  <c r="J202" i="33"/>
  <c r="J203" i="33"/>
  <c r="O15" i="33"/>
  <c r="O16" i="33"/>
  <c r="O21" i="33"/>
  <c r="O22" i="33"/>
  <c r="J34" i="33"/>
  <c r="J35" i="33"/>
  <c r="O36" i="33"/>
  <c r="O37" i="33"/>
  <c r="O38" i="33"/>
  <c r="O39" i="33"/>
  <c r="O40" i="33"/>
  <c r="O41" i="33"/>
  <c r="O42" i="33"/>
  <c r="O53" i="33"/>
  <c r="O54" i="33"/>
  <c r="O55" i="33"/>
  <c r="O56" i="33"/>
  <c r="O57" i="33"/>
  <c r="O58" i="33"/>
  <c r="O59" i="33"/>
  <c r="O60" i="33"/>
  <c r="O61" i="33"/>
  <c r="O62" i="33"/>
  <c r="O63" i="33"/>
  <c r="O69" i="33"/>
  <c r="O70" i="33"/>
  <c r="O71" i="33"/>
  <c r="O72" i="33"/>
  <c r="J86" i="33"/>
  <c r="J87" i="33"/>
  <c r="O26" i="33"/>
  <c r="O27" i="33"/>
  <c r="O28" i="33"/>
  <c r="O29" i="33"/>
  <c r="O30" i="33"/>
  <c r="O31" i="33"/>
  <c r="O32" i="33"/>
  <c r="O33" i="33"/>
  <c r="O34" i="33"/>
  <c r="O35" i="33"/>
  <c r="J52" i="33"/>
  <c r="J53" i="33"/>
  <c r="O43" i="33"/>
  <c r="O44" i="33"/>
  <c r="O45" i="33"/>
  <c r="O46" i="33"/>
  <c r="O47" i="33"/>
  <c r="O48" i="33"/>
  <c r="O49" i="33"/>
  <c r="O50" i="33"/>
  <c r="O51" i="33"/>
  <c r="O52" i="33"/>
  <c r="J68" i="33"/>
  <c r="J69" i="33"/>
  <c r="J70" i="33"/>
  <c r="J71" i="33"/>
  <c r="J72" i="33"/>
  <c r="J73" i="33"/>
  <c r="J74" i="33"/>
  <c r="O64" i="33"/>
  <c r="O65" i="33"/>
  <c r="O66" i="33"/>
  <c r="O67" i="33"/>
  <c r="O68" i="33"/>
  <c r="J82" i="33"/>
  <c r="J83" i="33"/>
  <c r="O73" i="33"/>
  <c r="O74" i="33"/>
  <c r="O75" i="33"/>
  <c r="O76" i="33"/>
  <c r="O77" i="33"/>
  <c r="O78" i="33"/>
  <c r="O79" i="33"/>
  <c r="O83" i="33"/>
  <c r="S111" i="33"/>
  <c r="S200" i="33"/>
  <c r="S199" i="33"/>
  <c r="S198" i="33"/>
  <c r="S197" i="33"/>
  <c r="S195" i="33"/>
  <c r="S194" i="33"/>
  <c r="S205" i="33"/>
  <c r="S204" i="33"/>
  <c r="S203" i="33"/>
  <c r="S202" i="33"/>
  <c r="S201" i="33"/>
  <c r="S196" i="33"/>
  <c r="J97" i="33"/>
  <c r="J98" i="33"/>
  <c r="J99" i="33"/>
  <c r="J100" i="33"/>
  <c r="J101" i="33"/>
  <c r="J102" i="33"/>
  <c r="J103" i="33"/>
  <c r="J104" i="33"/>
  <c r="J105" i="33"/>
  <c r="J106" i="33"/>
  <c r="J118" i="33"/>
  <c r="J119" i="33"/>
  <c r="J120" i="33"/>
  <c r="J122" i="33"/>
  <c r="J129" i="33"/>
  <c r="J132" i="33"/>
  <c r="J139" i="33"/>
  <c r="J142" i="33"/>
  <c r="J146" i="33"/>
  <c r="J148" i="33"/>
  <c r="J151" i="33"/>
  <c r="J153" i="33"/>
  <c r="J155" i="33"/>
  <c r="J157" i="33"/>
  <c r="J159" i="33"/>
  <c r="J161" i="33"/>
  <c r="J163" i="33"/>
  <c r="J165" i="33"/>
  <c r="J168" i="33"/>
  <c r="J195" i="33"/>
  <c r="J196" i="33"/>
  <c r="J198" i="33"/>
  <c r="J199" i="33"/>
  <c r="J201" i="33"/>
  <c r="J32" i="33"/>
  <c r="J33" i="33"/>
  <c r="J40" i="33"/>
  <c r="J45" i="33"/>
  <c r="J46" i="33"/>
  <c r="J61" i="33"/>
  <c r="J62" i="33"/>
  <c r="J63" i="33"/>
  <c r="J77" i="33"/>
  <c r="J78" i="33"/>
  <c r="J79" i="33"/>
  <c r="S78" i="33"/>
  <c r="S79" i="33"/>
  <c r="S80" i="33"/>
  <c r="J92" i="33"/>
  <c r="S81" i="33"/>
  <c r="J93" i="33"/>
  <c r="S82" i="33"/>
  <c r="S83" i="33"/>
  <c r="J111" i="33"/>
  <c r="J113" i="33"/>
  <c r="J123" i="33"/>
  <c r="J125" i="33"/>
  <c r="J128" i="33"/>
  <c r="J133" i="33"/>
  <c r="J135" i="33"/>
  <c r="J138" i="33"/>
  <c r="J143" i="33"/>
  <c r="J36" i="33"/>
  <c r="J94" i="33"/>
  <c r="J145" i="33"/>
  <c r="O80" i="33"/>
  <c r="S86" i="33"/>
  <c r="S87" i="33"/>
  <c r="S88" i="33"/>
  <c r="S89" i="33"/>
  <c r="S90" i="33"/>
  <c r="S91" i="33"/>
  <c r="O96" i="33"/>
  <c r="O97" i="33"/>
  <c r="O98" i="33"/>
  <c r="S100" i="33"/>
  <c r="S101" i="33"/>
  <c r="O103" i="33"/>
  <c r="O104" i="33"/>
  <c r="S106" i="33"/>
  <c r="S110" i="33"/>
  <c r="J170" i="33"/>
  <c r="J171" i="33"/>
  <c r="J175" i="33"/>
  <c r="J180" i="33"/>
  <c r="J183" i="33"/>
  <c r="J185" i="33"/>
  <c r="J186" i="33"/>
  <c r="J188" i="33"/>
  <c r="J189" i="33"/>
  <c r="J191" i="33"/>
  <c r="J193" i="33"/>
  <c r="J27" i="33"/>
  <c r="J25" i="33"/>
  <c r="J29" i="33"/>
  <c r="J31" i="33"/>
  <c r="J38" i="33"/>
  <c r="J42" i="33"/>
  <c r="J49" i="33"/>
  <c r="J50" i="33"/>
  <c r="J51" i="33"/>
  <c r="J54" i="33"/>
  <c r="J55" i="33"/>
  <c r="J56" i="33"/>
  <c r="J64" i="33"/>
  <c r="J65" i="33"/>
  <c r="J66" i="33"/>
  <c r="J67" i="33"/>
  <c r="J75" i="33"/>
  <c r="J76" i="33"/>
  <c r="J80" i="33"/>
  <c r="J81" i="33"/>
  <c r="J84" i="33"/>
  <c r="J85" i="33"/>
  <c r="J88" i="33"/>
  <c r="J89" i="33"/>
  <c r="J90" i="33"/>
  <c r="J91" i="33"/>
  <c r="K91" i="33"/>
  <c r="O81" i="33"/>
  <c r="O82" i="33"/>
  <c r="J95" i="33"/>
  <c r="S84" i="33"/>
  <c r="J96" i="33"/>
  <c r="O85" i="33"/>
  <c r="S85" i="33"/>
  <c r="O86" i="33"/>
  <c r="O87" i="33"/>
  <c r="O88" i="33"/>
  <c r="O89" i="33"/>
  <c r="O90" i="33"/>
  <c r="O91" i="33"/>
  <c r="S96" i="33"/>
  <c r="J108" i="33"/>
  <c r="S97" i="33"/>
  <c r="J109" i="33"/>
  <c r="S98" i="33"/>
  <c r="J110" i="33"/>
  <c r="O100" i="33"/>
  <c r="O101" i="33"/>
  <c r="S103" i="33"/>
  <c r="S104" i="33"/>
  <c r="J116" i="33"/>
  <c r="K116" i="33"/>
  <c r="O106" i="33"/>
  <c r="M111" i="33"/>
  <c r="M112" i="33"/>
  <c r="M113" i="33"/>
  <c r="J124" i="33"/>
  <c r="J126" i="33"/>
  <c r="K126" i="33"/>
  <c r="J127" i="33"/>
  <c r="J130" i="33"/>
  <c r="J131" i="33"/>
  <c r="J134" i="33"/>
  <c r="K134" i="33"/>
  <c r="J136" i="33"/>
  <c r="J137" i="33"/>
  <c r="J140" i="33"/>
  <c r="J141" i="33"/>
  <c r="K141" i="33"/>
  <c r="J144" i="33"/>
  <c r="J147" i="33"/>
  <c r="J149" i="33"/>
  <c r="J150" i="33"/>
  <c r="K150" i="33"/>
  <c r="J152" i="33"/>
  <c r="J154" i="33"/>
  <c r="J156" i="33"/>
  <c r="J158" i="33"/>
  <c r="K158" i="33"/>
  <c r="J160" i="33"/>
  <c r="J162" i="33"/>
  <c r="J166" i="33"/>
  <c r="J169" i="33"/>
  <c r="K169" i="33"/>
  <c r="J172" i="33"/>
  <c r="J174" i="33"/>
  <c r="J176" i="33"/>
  <c r="J177" i="33"/>
  <c r="K177" i="33"/>
  <c r="J179" i="33"/>
  <c r="J182" i="33"/>
  <c r="J184" i="33"/>
  <c r="J187" i="33"/>
  <c r="K187" i="33"/>
  <c r="J190" i="33"/>
  <c r="J192" i="33"/>
  <c r="P10" i="54"/>
  <c r="R10" i="54"/>
  <c r="F9" i="52"/>
  <c r="H9" i="52" s="1"/>
  <c r="I9" i="52" s="1"/>
  <c r="P11" i="54"/>
  <c r="R11" i="54"/>
  <c r="F10" i="52"/>
  <c r="P12" i="54"/>
  <c r="R12" i="54"/>
  <c r="F11" i="52"/>
  <c r="P13" i="54"/>
  <c r="R13" i="54"/>
  <c r="F12" i="52"/>
  <c r="H12" i="52" s="1"/>
  <c r="I12" i="52" s="1"/>
  <c r="P14" i="54"/>
  <c r="R14" i="54"/>
  <c r="F13" i="52"/>
  <c r="H13" i="52"/>
  <c r="I13" i="52" s="1"/>
  <c r="P15" i="54"/>
  <c r="R15" i="54"/>
  <c r="F14" i="52"/>
  <c r="P16" i="54"/>
  <c r="R16" i="54"/>
  <c r="F15" i="52"/>
  <c r="P17" i="54"/>
  <c r="R17" i="54"/>
  <c r="F16" i="52"/>
  <c r="G16" i="52"/>
  <c r="P18" i="54"/>
  <c r="R18" i="54"/>
  <c r="F17" i="52"/>
  <c r="H17" i="52"/>
  <c r="I17" i="52" s="1"/>
  <c r="P19" i="54"/>
  <c r="R19" i="54"/>
  <c r="F18" i="52"/>
  <c r="P20" i="54"/>
  <c r="R20" i="54"/>
  <c r="F19" i="52"/>
  <c r="P21" i="54"/>
  <c r="R21" i="54"/>
  <c r="F20" i="52"/>
  <c r="P22" i="54"/>
  <c r="R22" i="54"/>
  <c r="F21" i="52"/>
  <c r="G21" i="52" s="1"/>
  <c r="P23" i="54"/>
  <c r="R23" i="54"/>
  <c r="F22" i="52"/>
  <c r="P24" i="54"/>
  <c r="R24" i="54"/>
  <c r="F23" i="52"/>
  <c r="P25" i="54"/>
  <c r="R25" i="54"/>
  <c r="F24" i="52"/>
  <c r="P26" i="54"/>
  <c r="R26" i="54"/>
  <c r="F25" i="52"/>
  <c r="G25" i="52"/>
  <c r="P27" i="54"/>
  <c r="R27" i="54"/>
  <c r="F26" i="52"/>
  <c r="H26" i="52"/>
  <c r="I26" i="52" s="1"/>
  <c r="P28" i="54"/>
  <c r="R28" i="54"/>
  <c r="F27" i="52"/>
  <c r="P29" i="54"/>
  <c r="R29" i="54"/>
  <c r="F28" i="52"/>
  <c r="P30" i="54"/>
  <c r="R30" i="54"/>
  <c r="F29" i="52"/>
  <c r="H29" i="52" s="1"/>
  <c r="I29" i="52" s="1"/>
  <c r="P31" i="54"/>
  <c r="R31" i="54"/>
  <c r="F30" i="52"/>
  <c r="H30" i="52"/>
  <c r="I30" i="52" s="1"/>
  <c r="P32" i="54"/>
  <c r="R32" i="54"/>
  <c r="F31" i="52"/>
  <c r="P33" i="54"/>
  <c r="R33" i="54"/>
  <c r="F32" i="52"/>
  <c r="P34" i="54"/>
  <c r="R34" i="54"/>
  <c r="F33" i="52"/>
  <c r="H33" i="52" s="1"/>
  <c r="I33" i="52" s="1"/>
  <c r="P35" i="54"/>
  <c r="R35" i="54"/>
  <c r="F34" i="52"/>
  <c r="P36" i="54"/>
  <c r="R36" i="54"/>
  <c r="F35" i="52"/>
  <c r="P37" i="54"/>
  <c r="R37" i="54"/>
  <c r="F36" i="52"/>
  <c r="H36" i="52" s="1"/>
  <c r="I36" i="52" s="1"/>
  <c r="P38" i="54"/>
  <c r="R38" i="54"/>
  <c r="F37" i="52"/>
  <c r="G37" i="52" s="1"/>
  <c r="P39" i="54"/>
  <c r="R39" i="54"/>
  <c r="F38" i="52"/>
  <c r="P40" i="54"/>
  <c r="R40" i="54"/>
  <c r="F39" i="52"/>
  <c r="P41" i="54"/>
  <c r="R41" i="54"/>
  <c r="F40" i="52"/>
  <c r="H40" i="52" s="1"/>
  <c r="I40" i="52" s="1"/>
  <c r="P42" i="54"/>
  <c r="R42" i="54"/>
  <c r="F41" i="52"/>
  <c r="G41" i="52" s="1"/>
  <c r="P43" i="54"/>
  <c r="R43" i="54"/>
  <c r="F42" i="52"/>
  <c r="P44" i="54"/>
  <c r="R44" i="54"/>
  <c r="F43" i="52"/>
  <c r="P45" i="54"/>
  <c r="R45" i="54"/>
  <c r="F44" i="52"/>
  <c r="H44" i="52" s="1"/>
  <c r="I44" i="52" s="1"/>
  <c r="P46" i="54"/>
  <c r="R46" i="54"/>
  <c r="F45" i="52"/>
  <c r="G45" i="52" s="1"/>
  <c r="P47" i="54"/>
  <c r="R47" i="54"/>
  <c r="F46" i="52"/>
  <c r="P48" i="54"/>
  <c r="R48" i="54"/>
  <c r="F47" i="52"/>
  <c r="P49" i="54"/>
  <c r="R49" i="54"/>
  <c r="F48" i="52"/>
  <c r="P50" i="54"/>
  <c r="R50" i="54"/>
  <c r="F49" i="52"/>
  <c r="H49" i="52" s="1"/>
  <c r="I49" i="52" s="1"/>
  <c r="P51" i="54"/>
  <c r="R51" i="54"/>
  <c r="F50" i="52"/>
  <c r="H50" i="52" s="1"/>
  <c r="I50" i="52" s="1"/>
  <c r="P52" i="54"/>
  <c r="R52" i="54"/>
  <c r="F51" i="52"/>
  <c r="P53" i="54"/>
  <c r="R53" i="54"/>
  <c r="F52" i="52"/>
  <c r="P54" i="54"/>
  <c r="R54" i="54"/>
  <c r="F53" i="52"/>
  <c r="H53" i="52"/>
  <c r="I53" i="52" s="1"/>
  <c r="P55" i="54"/>
  <c r="R55" i="54"/>
  <c r="F54" i="52"/>
  <c r="H54" i="52" s="1"/>
  <c r="I54" i="52" s="1"/>
  <c r="P56" i="54"/>
  <c r="R56" i="54"/>
  <c r="F55" i="52"/>
  <c r="P57" i="54"/>
  <c r="R57" i="54"/>
  <c r="F56" i="52"/>
  <c r="P58" i="54"/>
  <c r="R58" i="54"/>
  <c r="F57" i="52"/>
  <c r="G57" i="52" s="1"/>
  <c r="P59" i="54"/>
  <c r="R59" i="54"/>
  <c r="F58" i="52"/>
  <c r="P60" i="54"/>
  <c r="R60" i="54"/>
  <c r="F59" i="52"/>
  <c r="H59" i="52"/>
  <c r="I59" i="52" s="1"/>
  <c r="P61" i="54"/>
  <c r="R61" i="54"/>
  <c r="F60" i="52"/>
  <c r="P62" i="54"/>
  <c r="R62" i="54"/>
  <c r="F61" i="52"/>
  <c r="G61" i="52"/>
  <c r="P63" i="54"/>
  <c r="R63" i="54"/>
  <c r="F62" i="52"/>
  <c r="P64" i="54"/>
  <c r="R64" i="54"/>
  <c r="F63" i="52"/>
  <c r="H63" i="52" s="1"/>
  <c r="I63" i="52" s="1"/>
  <c r="P65" i="54"/>
  <c r="R65" i="54"/>
  <c r="F64" i="52"/>
  <c r="P66" i="54"/>
  <c r="R66" i="54"/>
  <c r="F65" i="52"/>
  <c r="H65" i="52"/>
  <c r="I65" i="52" s="1"/>
  <c r="P67" i="54"/>
  <c r="R67" i="54"/>
  <c r="F66" i="52"/>
  <c r="P68" i="54"/>
  <c r="R68" i="54"/>
  <c r="F67" i="52"/>
  <c r="G67" i="52"/>
  <c r="P69" i="54"/>
  <c r="R69" i="54"/>
  <c r="F68" i="52"/>
  <c r="P70" i="54"/>
  <c r="R70" i="54"/>
  <c r="F69" i="52"/>
  <c r="H69" i="52" s="1"/>
  <c r="I69" i="52" s="1"/>
  <c r="P71" i="54"/>
  <c r="R71" i="54"/>
  <c r="F70" i="52"/>
  <c r="P72" i="54"/>
  <c r="R72" i="54"/>
  <c r="F71" i="52"/>
  <c r="P73" i="54"/>
  <c r="R73" i="54"/>
  <c r="F72" i="52"/>
  <c r="H72" i="52"/>
  <c r="I72" i="52" s="1"/>
  <c r="P74" i="54"/>
  <c r="R74" i="54"/>
  <c r="F73" i="52"/>
  <c r="G73" i="52" s="1"/>
  <c r="P75" i="54"/>
  <c r="R75" i="54"/>
  <c r="F74" i="52"/>
  <c r="P76" i="54"/>
  <c r="R76" i="54"/>
  <c r="F75" i="52"/>
  <c r="J28" i="33"/>
  <c r="J30" i="33"/>
  <c r="J37" i="33"/>
  <c r="J41" i="33"/>
  <c r="J43" i="33"/>
  <c r="J44" i="33"/>
  <c r="J47" i="33"/>
  <c r="J48" i="33"/>
  <c r="J57" i="33"/>
  <c r="J58" i="33"/>
  <c r="J59" i="33"/>
  <c r="J60" i="33"/>
  <c r="O92" i="33"/>
  <c r="S92" i="33"/>
  <c r="O93" i="33"/>
  <c r="S93" i="33"/>
  <c r="O94" i="33"/>
  <c r="S94" i="33"/>
  <c r="O95" i="33"/>
  <c r="S95" i="33"/>
  <c r="O99" i="33"/>
  <c r="S99" i="33"/>
  <c r="O102" i="33"/>
  <c r="S102" i="33"/>
  <c r="O105" i="33"/>
  <c r="S105" i="33"/>
  <c r="O107" i="33"/>
  <c r="S107" i="33"/>
  <c r="O108" i="33"/>
  <c r="S108" i="33"/>
  <c r="S109" i="33"/>
  <c r="N110" i="33"/>
  <c r="O110" i="33"/>
  <c r="S116" i="33"/>
  <c r="S120" i="33"/>
  <c r="S123" i="33"/>
  <c r="S126" i="33"/>
  <c r="S130" i="33"/>
  <c r="S133" i="33"/>
  <c r="S136" i="33"/>
  <c r="S139" i="33"/>
  <c r="S141" i="33"/>
  <c r="S143" i="33"/>
  <c r="S145" i="33"/>
  <c r="S147" i="33"/>
  <c r="S149" i="33"/>
  <c r="S191" i="33"/>
  <c r="S189" i="33"/>
  <c r="S187" i="33"/>
  <c r="S184" i="33"/>
  <c r="S182" i="33"/>
  <c r="S181" i="33"/>
  <c r="S180" i="33"/>
  <c r="S177" i="33"/>
  <c r="S174" i="33"/>
  <c r="S169" i="33"/>
  <c r="S168" i="33"/>
  <c r="S165" i="33"/>
  <c r="S164" i="33"/>
  <c r="S163" i="33"/>
  <c r="S159" i="33"/>
  <c r="S158" i="33"/>
  <c r="S156" i="33"/>
  <c r="S154" i="33"/>
  <c r="S151" i="33"/>
  <c r="S152" i="33"/>
  <c r="S138" i="33"/>
  <c r="S134" i="33"/>
  <c r="S131" i="33"/>
  <c r="S129" i="33"/>
  <c r="S127" i="33"/>
  <c r="S125" i="33"/>
  <c r="S121" i="33"/>
  <c r="S119" i="33"/>
  <c r="S117" i="33"/>
  <c r="S115" i="33"/>
  <c r="S114" i="33"/>
  <c r="S113" i="33"/>
  <c r="J112" i="33"/>
  <c r="J114" i="33"/>
  <c r="J115" i="33"/>
  <c r="J117" i="33"/>
  <c r="J121" i="33"/>
  <c r="L111" i="33"/>
  <c r="S112" i="33"/>
  <c r="S118" i="33"/>
  <c r="S122" i="33"/>
  <c r="S124" i="33"/>
  <c r="S128" i="33"/>
  <c r="S132" i="33"/>
  <c r="S135" i="33"/>
  <c r="S137" i="33"/>
  <c r="S140" i="33"/>
  <c r="S142" i="33"/>
  <c r="S144" i="33"/>
  <c r="S146" i="33"/>
  <c r="S148" i="33"/>
  <c r="S150" i="33"/>
  <c r="S155" i="33"/>
  <c r="S161" i="33"/>
  <c r="S166" i="33"/>
  <c r="S153" i="33"/>
  <c r="S157" i="33"/>
  <c r="S160" i="33"/>
  <c r="S162" i="33"/>
  <c r="S167" i="33"/>
  <c r="S170" i="33"/>
  <c r="S171" i="33"/>
  <c r="S173" i="33"/>
  <c r="S176" i="33"/>
  <c r="S179" i="33"/>
  <c r="S185" i="33"/>
  <c r="S188" i="33"/>
  <c r="S192" i="33"/>
  <c r="J173" i="33"/>
  <c r="J178" i="33"/>
  <c r="J181" i="33"/>
  <c r="S172" i="33"/>
  <c r="S175" i="33"/>
  <c r="S178" i="33"/>
  <c r="S183" i="33"/>
  <c r="S186" i="33"/>
  <c r="S190" i="33"/>
  <c r="S193" i="33"/>
  <c r="K289" i="33"/>
  <c r="K288" i="33"/>
  <c r="K281" i="33"/>
  <c r="K285" i="33"/>
  <c r="K284" i="33"/>
  <c r="K277" i="33"/>
  <c r="K279" i="33"/>
  <c r="K287" i="33"/>
  <c r="K282" i="33"/>
  <c r="K286" i="33"/>
  <c r="K280" i="33"/>
  <c r="K278" i="33"/>
  <c r="K283" i="33"/>
  <c r="K276" i="33"/>
  <c r="K268" i="33"/>
  <c r="K274" i="33"/>
  <c r="K271" i="33"/>
  <c r="K272" i="33"/>
  <c r="K273" i="33"/>
  <c r="K275" i="33"/>
  <c r="K267" i="33"/>
  <c r="K270" i="33"/>
  <c r="K266" i="33"/>
  <c r="K269" i="33"/>
  <c r="K264" i="33"/>
  <c r="K265" i="33"/>
  <c r="K262" i="33"/>
  <c r="K263" i="33"/>
  <c r="K260" i="33"/>
  <c r="K256" i="33"/>
  <c r="K261" i="33"/>
  <c r="K253" i="33"/>
  <c r="K254" i="33"/>
  <c r="K255" i="33"/>
  <c r="K257" i="33"/>
  <c r="K259" i="33"/>
  <c r="K258" i="33"/>
  <c r="K251" i="33"/>
  <c r="K247" i="33"/>
  <c r="K250" i="33"/>
  <c r="K252" i="33"/>
  <c r="K249" i="33"/>
  <c r="K240" i="33"/>
  <c r="K244" i="33"/>
  <c r="K242" i="33"/>
  <c r="K245" i="33"/>
  <c r="K248" i="33"/>
  <c r="K243" i="33"/>
  <c r="K246" i="33"/>
  <c r="K241" i="33"/>
  <c r="K237" i="33"/>
  <c r="K234" i="33"/>
  <c r="K231" i="33"/>
  <c r="K235" i="33"/>
  <c r="K238" i="33"/>
  <c r="K239" i="33"/>
  <c r="K236" i="33"/>
  <c r="K232" i="33"/>
  <c r="K230" i="33"/>
  <c r="K233" i="33"/>
  <c r="K220" i="33"/>
  <c r="K223" i="33"/>
  <c r="G106" i="52"/>
  <c r="G107" i="52"/>
  <c r="G115" i="52"/>
  <c r="G114" i="52"/>
  <c r="K186" i="33"/>
  <c r="K143" i="33"/>
  <c r="K60" i="33"/>
  <c r="K48" i="33"/>
  <c r="K41" i="33"/>
  <c r="G110" i="52"/>
  <c r="K222" i="33"/>
  <c r="K221" i="33"/>
  <c r="K219" i="33"/>
  <c r="K137" i="33"/>
  <c r="K182" i="33"/>
  <c r="K154" i="33"/>
  <c r="K224" i="33"/>
  <c r="K229" i="33"/>
  <c r="K228" i="33"/>
  <c r="K225" i="33"/>
  <c r="K226" i="33"/>
  <c r="K227" i="33"/>
  <c r="K218" i="33"/>
  <c r="G100" i="52"/>
  <c r="K148" i="33"/>
  <c r="G104" i="52"/>
  <c r="K129" i="33"/>
  <c r="K107" i="33"/>
  <c r="G94" i="52"/>
  <c r="G76" i="52"/>
  <c r="G98" i="52"/>
  <c r="G92" i="52"/>
  <c r="K217" i="33"/>
  <c r="K216" i="33"/>
  <c r="K214" i="33"/>
  <c r="K215" i="33"/>
  <c r="K213" i="33"/>
  <c r="K153" i="33"/>
  <c r="K121" i="33"/>
  <c r="K112" i="33"/>
  <c r="G96" i="52"/>
  <c r="G84" i="52"/>
  <c r="K127" i="33"/>
  <c r="K163" i="33"/>
  <c r="K87" i="33"/>
  <c r="K89" i="33"/>
  <c r="K146" i="33"/>
  <c r="K164" i="33"/>
  <c r="K179" i="33"/>
  <c r="K185" i="33"/>
  <c r="K197" i="33"/>
  <c r="K99" i="33"/>
  <c r="K128" i="33"/>
  <c r="K111" i="33"/>
  <c r="K152" i="33"/>
  <c r="K124" i="33"/>
  <c r="K117" i="33"/>
  <c r="K118" i="33"/>
  <c r="K59" i="33"/>
  <c r="K47" i="33"/>
  <c r="K37" i="33"/>
  <c r="G109" i="52"/>
  <c r="K156" i="33"/>
  <c r="K120" i="33"/>
  <c r="K155" i="33"/>
  <c r="K168" i="33"/>
  <c r="K130" i="33"/>
  <c r="K123" i="33"/>
  <c r="K101" i="33"/>
  <c r="K184" i="33"/>
  <c r="K176" i="33"/>
  <c r="K166" i="33"/>
  <c r="K149" i="33"/>
  <c r="K140" i="33"/>
  <c r="K131" i="33"/>
  <c r="K110" i="33"/>
  <c r="K108" i="33"/>
  <c r="K95" i="33"/>
  <c r="K90" i="33"/>
  <c r="K84" i="33"/>
  <c r="K75" i="33"/>
  <c r="K188" i="33"/>
  <c r="K180" i="33"/>
  <c r="K92" i="33"/>
  <c r="K159" i="33"/>
  <c r="K151" i="33"/>
  <c r="K139" i="33"/>
  <c r="K105" i="33"/>
  <c r="K97" i="33"/>
  <c r="K115" i="33"/>
  <c r="K58" i="33"/>
  <c r="K44" i="33"/>
  <c r="K30" i="33"/>
  <c r="K192" i="33"/>
  <c r="K174" i="33"/>
  <c r="K162" i="33"/>
  <c r="K147" i="33"/>
  <c r="K193" i="33"/>
  <c r="K94" i="33"/>
  <c r="K135" i="33"/>
  <c r="K198" i="33"/>
  <c r="K165" i="33"/>
  <c r="K157" i="33"/>
  <c r="K132" i="33"/>
  <c r="K119" i="33"/>
  <c r="K104" i="33"/>
  <c r="K100" i="33"/>
  <c r="K167" i="33"/>
  <c r="K114" i="33"/>
  <c r="K57" i="33"/>
  <c r="K43" i="33"/>
  <c r="K28" i="33"/>
  <c r="K190" i="33"/>
  <c r="K172" i="33"/>
  <c r="K160" i="33"/>
  <c r="K144" i="33"/>
  <c r="K136" i="33"/>
  <c r="K109" i="33"/>
  <c r="K96" i="33"/>
  <c r="K88" i="33"/>
  <c r="K80" i="33"/>
  <c r="K66" i="33"/>
  <c r="K113" i="33"/>
  <c r="K103" i="33"/>
  <c r="K202" i="33"/>
  <c r="G88" i="52"/>
  <c r="K208" i="33"/>
  <c r="K210" i="33"/>
  <c r="K212" i="33"/>
  <c r="K211" i="33"/>
  <c r="K209" i="33"/>
  <c r="K207" i="33"/>
  <c r="K206" i="33"/>
  <c r="K170" i="33"/>
  <c r="K201" i="33"/>
  <c r="K195" i="33"/>
  <c r="K161" i="33"/>
  <c r="K142" i="33"/>
  <c r="K122" i="33"/>
  <c r="K106" i="33"/>
  <c r="K102" i="33"/>
  <c r="K98" i="33"/>
  <c r="G86" i="52"/>
  <c r="G78" i="52"/>
  <c r="G93" i="52"/>
  <c r="G91" i="52"/>
  <c r="G85" i="52"/>
  <c r="G83" i="52"/>
  <c r="K191" i="33"/>
  <c r="K189" i="33"/>
  <c r="K183" i="33"/>
  <c r="K175" i="33"/>
  <c r="K171" i="33"/>
  <c r="K145" i="33"/>
  <c r="K138" i="33"/>
  <c r="K133" i="33"/>
  <c r="K125" i="33"/>
  <c r="K93" i="33"/>
  <c r="K85" i="33"/>
  <c r="K205" i="33"/>
  <c r="K204" i="33"/>
  <c r="K199" i="33"/>
  <c r="K196" i="33"/>
  <c r="K203" i="33"/>
  <c r="K200" i="33"/>
  <c r="K194" i="33"/>
  <c r="K64" i="33"/>
  <c r="K55" i="33"/>
  <c r="K51" i="33"/>
  <c r="K49" i="33"/>
  <c r="K38" i="33"/>
  <c r="K29" i="33"/>
  <c r="K27" i="33"/>
  <c r="K181" i="33"/>
  <c r="H75" i="52"/>
  <c r="I75" i="52" s="1"/>
  <c r="G75" i="52"/>
  <c r="H71" i="52"/>
  <c r="I71" i="52"/>
  <c r="G71" i="52"/>
  <c r="G69" i="52"/>
  <c r="G63" i="52"/>
  <c r="H61" i="52"/>
  <c r="I61" i="52" s="1"/>
  <c r="G59" i="52"/>
  <c r="H55" i="52"/>
  <c r="I55" i="52"/>
  <c r="G55" i="52"/>
  <c r="G53" i="52"/>
  <c r="H51" i="52"/>
  <c r="I51" i="52"/>
  <c r="G51" i="52"/>
  <c r="H47" i="52"/>
  <c r="I47" i="52" s="1"/>
  <c r="G47" i="52"/>
  <c r="H45" i="52"/>
  <c r="I45" i="52"/>
  <c r="H43" i="52"/>
  <c r="I43" i="52" s="1"/>
  <c r="G43" i="52"/>
  <c r="H39" i="52"/>
  <c r="I39" i="52" s="1"/>
  <c r="G39" i="52"/>
  <c r="H35" i="52"/>
  <c r="I35" i="52" s="1"/>
  <c r="G35" i="52"/>
  <c r="G33" i="52"/>
  <c r="H31" i="52"/>
  <c r="I31" i="52" s="1"/>
  <c r="G31" i="52"/>
  <c r="G29" i="52"/>
  <c r="H27" i="52"/>
  <c r="I27" i="52" s="1"/>
  <c r="G27" i="52"/>
  <c r="H23" i="52"/>
  <c r="I23" i="52" s="1"/>
  <c r="G23" i="52"/>
  <c r="H19" i="52"/>
  <c r="I19" i="52"/>
  <c r="G19" i="52"/>
  <c r="H15" i="52"/>
  <c r="I15" i="52" s="1"/>
  <c r="G15" i="52"/>
  <c r="H11" i="52"/>
  <c r="I11" i="52" s="1"/>
  <c r="G11" i="52"/>
  <c r="G9" i="52"/>
  <c r="K81" i="33"/>
  <c r="K76" i="33"/>
  <c r="K67" i="33"/>
  <c r="K65" i="33"/>
  <c r="K56" i="33"/>
  <c r="K54" i="33"/>
  <c r="K50" i="33"/>
  <c r="K42" i="33"/>
  <c r="K31" i="33"/>
  <c r="K25" i="33"/>
  <c r="K83" i="33"/>
  <c r="K79" i="33"/>
  <c r="K77" i="33"/>
  <c r="K73" i="33"/>
  <c r="K71" i="33"/>
  <c r="K69" i="33"/>
  <c r="K63" i="33"/>
  <c r="K61" i="33"/>
  <c r="K52" i="33"/>
  <c r="K45" i="33"/>
  <c r="K39" i="33"/>
  <c r="K35" i="33"/>
  <c r="K33" i="33"/>
  <c r="K178" i="33"/>
  <c r="K173" i="33"/>
  <c r="H74" i="52"/>
  <c r="I74" i="52" s="1"/>
  <c r="G74" i="52"/>
  <c r="H70" i="52"/>
  <c r="I70" i="52"/>
  <c r="G70" i="52"/>
  <c r="H68" i="52"/>
  <c r="I68" i="52" s="1"/>
  <c r="G68" i="52"/>
  <c r="H66" i="52"/>
  <c r="I66" i="52" s="1"/>
  <c r="G66" i="52"/>
  <c r="H64" i="52"/>
  <c r="I64" i="52" s="1"/>
  <c r="G64" i="52"/>
  <c r="H62" i="52"/>
  <c r="I62" i="52" s="1"/>
  <c r="G62" i="52"/>
  <c r="H60" i="52"/>
  <c r="I60" i="52" s="1"/>
  <c r="G60" i="52"/>
  <c r="H58" i="52"/>
  <c r="I58" i="52" s="1"/>
  <c r="G58" i="52"/>
  <c r="H56" i="52"/>
  <c r="I56" i="52" s="1"/>
  <c r="G56" i="52"/>
  <c r="H52" i="52"/>
  <c r="I52" i="52"/>
  <c r="G52" i="52"/>
  <c r="H48" i="52"/>
  <c r="I48" i="52" s="1"/>
  <c r="G48" i="52"/>
  <c r="H46" i="52"/>
  <c r="I46" i="52" s="1"/>
  <c r="G46" i="52"/>
  <c r="H42" i="52"/>
  <c r="I42" i="52" s="1"/>
  <c r="G42" i="52"/>
  <c r="H38" i="52"/>
  <c r="I38" i="52"/>
  <c r="G38" i="52"/>
  <c r="H34" i="52"/>
  <c r="I34" i="52" s="1"/>
  <c r="G34" i="52"/>
  <c r="H32" i="52"/>
  <c r="I32" i="52" s="1"/>
  <c r="G32" i="52"/>
  <c r="H28" i="52"/>
  <c r="I28" i="52" s="1"/>
  <c r="G28" i="52"/>
  <c r="H24" i="52"/>
  <c r="I24" i="52"/>
  <c r="G24" i="52"/>
  <c r="H22" i="52"/>
  <c r="I22" i="52" s="1"/>
  <c r="G22" i="52"/>
  <c r="H20" i="52"/>
  <c r="I20" i="52" s="1"/>
  <c r="G20" i="52"/>
  <c r="H18" i="52"/>
  <c r="I18" i="52" s="1"/>
  <c r="G18" i="52"/>
  <c r="H16" i="52"/>
  <c r="I16" i="52"/>
  <c r="H14" i="52"/>
  <c r="I14" i="52" s="1"/>
  <c r="G14" i="52"/>
  <c r="H10" i="52"/>
  <c r="I10" i="52"/>
  <c r="G10" i="52"/>
  <c r="K86" i="33"/>
  <c r="K82" i="33"/>
  <c r="K78" i="33"/>
  <c r="K74" i="33"/>
  <c r="K72" i="33"/>
  <c r="K70" i="33"/>
  <c r="K68" i="33"/>
  <c r="K62" i="33"/>
  <c r="K53" i="33"/>
  <c r="K46" i="33"/>
  <c r="K40" i="33"/>
  <c r="K36" i="33"/>
  <c r="K34" i="33"/>
  <c r="K32" i="33"/>
  <c r="K26" i="33"/>
  <c r="L112" i="33"/>
  <c r="L113" i="33"/>
  <c r="N111" i="33"/>
  <c r="O111" i="33"/>
  <c r="M114" i="33"/>
  <c r="N113" i="33"/>
  <c r="O113" i="33"/>
  <c r="L114" i="33"/>
  <c r="N112" i="33"/>
  <c r="O112" i="33"/>
  <c r="M115" i="33"/>
  <c r="M116" i="33"/>
  <c r="N114" i="33"/>
  <c r="O114" i="33"/>
  <c r="L115" i="33"/>
  <c r="L116" i="33"/>
  <c r="L117" i="33"/>
  <c r="L118" i="33"/>
  <c r="M117" i="33"/>
  <c r="N116" i="33"/>
  <c r="O116" i="33"/>
  <c r="N115" i="33"/>
  <c r="O115" i="33"/>
  <c r="M118" i="33"/>
  <c r="L119" i="33"/>
  <c r="N117" i="33"/>
  <c r="O117" i="33"/>
  <c r="M119" i="33"/>
  <c r="N119" i="33"/>
  <c r="O119" i="33"/>
  <c r="N118" i="33"/>
  <c r="O118" i="33"/>
  <c r="L120" i="33"/>
  <c r="L121" i="33"/>
  <c r="M120" i="33"/>
  <c r="B68" i="4"/>
  <c r="C68" i="4"/>
  <c r="D68" i="4"/>
  <c r="E68" i="4"/>
  <c r="F68" i="4"/>
  <c r="G68" i="4"/>
  <c r="H68" i="4"/>
  <c r="I68" i="4"/>
  <c r="J68" i="4"/>
  <c r="K68" i="4"/>
  <c r="L68" i="4"/>
  <c r="M68" i="4"/>
  <c r="N68" i="4"/>
  <c r="O68" i="4"/>
  <c r="P68" i="4"/>
  <c r="Q68" i="4"/>
  <c r="R68" i="4"/>
  <c r="B69" i="4"/>
  <c r="C69" i="4"/>
  <c r="D69" i="4"/>
  <c r="E69" i="4"/>
  <c r="F69" i="4"/>
  <c r="G69" i="4"/>
  <c r="H69" i="4"/>
  <c r="I69" i="4"/>
  <c r="J69" i="4"/>
  <c r="K69" i="4"/>
  <c r="L69" i="4"/>
  <c r="M69" i="4"/>
  <c r="N69" i="4"/>
  <c r="O69" i="4"/>
  <c r="P69" i="4"/>
  <c r="Q69" i="4"/>
  <c r="R69" i="4"/>
  <c r="B70" i="4"/>
  <c r="C70" i="4"/>
  <c r="D70" i="4"/>
  <c r="E70" i="4"/>
  <c r="F70" i="4"/>
  <c r="G70" i="4"/>
  <c r="H70" i="4"/>
  <c r="I70" i="4"/>
  <c r="J70" i="4"/>
  <c r="K70" i="4"/>
  <c r="L70" i="4"/>
  <c r="M70" i="4"/>
  <c r="N70" i="4"/>
  <c r="O70" i="4"/>
  <c r="P70" i="4"/>
  <c r="Q70" i="4"/>
  <c r="R70" i="4"/>
  <c r="B71" i="4"/>
  <c r="C71" i="4"/>
  <c r="D71" i="4"/>
  <c r="E71" i="4"/>
  <c r="F71" i="4"/>
  <c r="G71" i="4"/>
  <c r="H71" i="4"/>
  <c r="I71" i="4"/>
  <c r="J71" i="4"/>
  <c r="K71" i="4"/>
  <c r="L71" i="4"/>
  <c r="M71" i="4"/>
  <c r="N71" i="4"/>
  <c r="O71" i="4"/>
  <c r="P71" i="4"/>
  <c r="Q71" i="4"/>
  <c r="R71" i="4"/>
  <c r="B72" i="4"/>
  <c r="C72" i="4"/>
  <c r="D72" i="4"/>
  <c r="E72" i="4"/>
  <c r="F72" i="4"/>
  <c r="G72" i="4"/>
  <c r="H72" i="4"/>
  <c r="I72" i="4"/>
  <c r="J72" i="4"/>
  <c r="K72" i="4"/>
  <c r="L72" i="4"/>
  <c r="M72" i="4"/>
  <c r="N72" i="4"/>
  <c r="O72" i="4"/>
  <c r="P72" i="4"/>
  <c r="Q72" i="4"/>
  <c r="R72" i="4"/>
  <c r="B73" i="4"/>
  <c r="C73" i="4"/>
  <c r="D73" i="4"/>
  <c r="E73" i="4"/>
  <c r="F73" i="4"/>
  <c r="G73" i="4"/>
  <c r="H73" i="4"/>
  <c r="I73" i="4"/>
  <c r="J73" i="4"/>
  <c r="K73" i="4"/>
  <c r="L73" i="4"/>
  <c r="M73" i="4"/>
  <c r="N73" i="4"/>
  <c r="O73" i="4"/>
  <c r="P73" i="4"/>
  <c r="Q73" i="4"/>
  <c r="R73" i="4"/>
  <c r="B74" i="4"/>
  <c r="C74" i="4"/>
  <c r="D74" i="4"/>
  <c r="E74" i="4"/>
  <c r="F74" i="4"/>
  <c r="G74" i="4"/>
  <c r="H74" i="4"/>
  <c r="I74" i="4"/>
  <c r="J74" i="4"/>
  <c r="K74" i="4"/>
  <c r="L74" i="4"/>
  <c r="M74" i="4"/>
  <c r="N74" i="4"/>
  <c r="O74" i="4"/>
  <c r="P74" i="4"/>
  <c r="Q74" i="4"/>
  <c r="R74" i="4"/>
  <c r="B75" i="4"/>
  <c r="C75" i="4"/>
  <c r="D75" i="4"/>
  <c r="E75" i="4"/>
  <c r="F75" i="4"/>
  <c r="G75" i="4"/>
  <c r="H75" i="4"/>
  <c r="I75" i="4"/>
  <c r="J75" i="4"/>
  <c r="K75" i="4"/>
  <c r="L75" i="4"/>
  <c r="M75" i="4"/>
  <c r="N75" i="4"/>
  <c r="O75" i="4"/>
  <c r="P75" i="4"/>
  <c r="Q75" i="4"/>
  <c r="R75" i="4"/>
  <c r="B76" i="4"/>
  <c r="C76" i="4"/>
  <c r="D76" i="4"/>
  <c r="E76" i="4"/>
  <c r="F76" i="4"/>
  <c r="G76" i="4"/>
  <c r="H76" i="4"/>
  <c r="I76" i="4"/>
  <c r="J76" i="4"/>
  <c r="K76" i="4"/>
  <c r="L76" i="4"/>
  <c r="M76" i="4"/>
  <c r="N76" i="4"/>
  <c r="O76" i="4"/>
  <c r="P76" i="4"/>
  <c r="Q76" i="4"/>
  <c r="R76" i="4"/>
  <c r="B77" i="4"/>
  <c r="C77" i="4"/>
  <c r="D77" i="4"/>
  <c r="E77" i="4"/>
  <c r="F77" i="4"/>
  <c r="G77" i="4"/>
  <c r="H77" i="4"/>
  <c r="I77" i="4"/>
  <c r="J77" i="4"/>
  <c r="K77" i="4"/>
  <c r="L77" i="4"/>
  <c r="M77" i="4"/>
  <c r="N77" i="4"/>
  <c r="O77" i="4"/>
  <c r="P77" i="4"/>
  <c r="Q77" i="4"/>
  <c r="R77" i="4"/>
  <c r="B78" i="4"/>
  <c r="C78" i="4"/>
  <c r="D78" i="4"/>
  <c r="E78" i="4"/>
  <c r="F78" i="4"/>
  <c r="G78" i="4"/>
  <c r="H78" i="4"/>
  <c r="I78" i="4"/>
  <c r="J78" i="4"/>
  <c r="K78" i="4"/>
  <c r="L78" i="4"/>
  <c r="M78" i="4"/>
  <c r="N78" i="4"/>
  <c r="O78" i="4"/>
  <c r="P78" i="4"/>
  <c r="Q78" i="4"/>
  <c r="R78" i="4"/>
  <c r="B79" i="4"/>
  <c r="C79" i="4"/>
  <c r="D79" i="4"/>
  <c r="E79" i="4"/>
  <c r="F79" i="4"/>
  <c r="G79" i="4"/>
  <c r="H79" i="4"/>
  <c r="I79" i="4"/>
  <c r="J79" i="4"/>
  <c r="K79" i="4"/>
  <c r="L79" i="4"/>
  <c r="M79" i="4"/>
  <c r="N79" i="4"/>
  <c r="O79" i="4"/>
  <c r="P79" i="4"/>
  <c r="Q79" i="4"/>
  <c r="R79" i="4"/>
  <c r="B80" i="4"/>
  <c r="C80" i="4"/>
  <c r="D80" i="4"/>
  <c r="E80" i="4"/>
  <c r="F80" i="4"/>
  <c r="G80" i="4"/>
  <c r="H80" i="4"/>
  <c r="I80" i="4"/>
  <c r="J80" i="4"/>
  <c r="K80" i="4"/>
  <c r="L80" i="4"/>
  <c r="M80" i="4"/>
  <c r="N80" i="4"/>
  <c r="O80" i="4"/>
  <c r="P80" i="4"/>
  <c r="Q80" i="4"/>
  <c r="R80" i="4"/>
  <c r="B81" i="4"/>
  <c r="C81" i="4"/>
  <c r="D81" i="4"/>
  <c r="E81" i="4"/>
  <c r="F81" i="4"/>
  <c r="G81" i="4"/>
  <c r="H81" i="4"/>
  <c r="I81" i="4"/>
  <c r="J81" i="4"/>
  <c r="K81" i="4"/>
  <c r="L81" i="4"/>
  <c r="M81" i="4"/>
  <c r="N81" i="4"/>
  <c r="O81" i="4"/>
  <c r="P81" i="4"/>
  <c r="Q81" i="4"/>
  <c r="R81" i="4"/>
  <c r="B82" i="4"/>
  <c r="C82" i="4"/>
  <c r="D82" i="4"/>
  <c r="E82" i="4"/>
  <c r="F82" i="4"/>
  <c r="G82" i="4"/>
  <c r="H82" i="4"/>
  <c r="I82" i="4"/>
  <c r="J82" i="4"/>
  <c r="K82" i="4"/>
  <c r="L82" i="4"/>
  <c r="M82" i="4"/>
  <c r="N82" i="4"/>
  <c r="O82" i="4"/>
  <c r="P82" i="4"/>
  <c r="Q82" i="4"/>
  <c r="R82" i="4"/>
  <c r="R67" i="4"/>
  <c r="Q67" i="4"/>
  <c r="P67" i="4"/>
  <c r="O67" i="4"/>
  <c r="N67" i="4"/>
  <c r="M67" i="4"/>
  <c r="L67" i="4"/>
  <c r="K67" i="4"/>
  <c r="J67" i="4"/>
  <c r="I67" i="4"/>
  <c r="H67" i="4"/>
  <c r="G67" i="4"/>
  <c r="F67" i="4"/>
  <c r="E67" i="4"/>
  <c r="D67" i="4"/>
  <c r="C67" i="4"/>
  <c r="B67" i="4"/>
  <c r="R66" i="4"/>
  <c r="Q66" i="4"/>
  <c r="P66" i="4"/>
  <c r="O66" i="4"/>
  <c r="N66" i="4"/>
  <c r="M66" i="4"/>
  <c r="L66" i="4"/>
  <c r="K66" i="4"/>
  <c r="J66" i="4"/>
  <c r="I66" i="4"/>
  <c r="H66" i="4"/>
  <c r="G66" i="4"/>
  <c r="F66" i="4"/>
  <c r="E66" i="4"/>
  <c r="D66" i="4"/>
  <c r="C66" i="4"/>
  <c r="B66" i="4"/>
  <c r="R65" i="4"/>
  <c r="Q65" i="4"/>
  <c r="P65" i="4"/>
  <c r="O65" i="4"/>
  <c r="N65" i="4"/>
  <c r="M65" i="4"/>
  <c r="L65" i="4"/>
  <c r="K65" i="4"/>
  <c r="J65" i="4"/>
  <c r="I65" i="4"/>
  <c r="H65" i="4"/>
  <c r="G65" i="4"/>
  <c r="F65" i="4"/>
  <c r="E65" i="4"/>
  <c r="D65" i="4"/>
  <c r="C65" i="4"/>
  <c r="B65" i="4"/>
  <c r="R64" i="4"/>
  <c r="Q64" i="4"/>
  <c r="P64" i="4"/>
  <c r="O64" i="4"/>
  <c r="N64" i="4"/>
  <c r="M64" i="4"/>
  <c r="L64" i="4"/>
  <c r="K64" i="4"/>
  <c r="J64" i="4"/>
  <c r="I64" i="4"/>
  <c r="H64" i="4"/>
  <c r="G64" i="4"/>
  <c r="F64" i="4"/>
  <c r="E64" i="4"/>
  <c r="D64" i="4"/>
  <c r="C64" i="4"/>
  <c r="B64" i="4"/>
  <c r="R63" i="4"/>
  <c r="Q63" i="4"/>
  <c r="P63" i="4"/>
  <c r="O63" i="4"/>
  <c r="N63" i="4"/>
  <c r="M63" i="4"/>
  <c r="L63" i="4"/>
  <c r="K63" i="4"/>
  <c r="J63" i="4"/>
  <c r="I63" i="4"/>
  <c r="H63" i="4"/>
  <c r="G63" i="4"/>
  <c r="F63" i="4"/>
  <c r="E63" i="4"/>
  <c r="D63" i="4"/>
  <c r="C63" i="4"/>
  <c r="B63" i="4"/>
  <c r="R62" i="4"/>
  <c r="Q62" i="4"/>
  <c r="P62" i="4"/>
  <c r="O62" i="4"/>
  <c r="N62" i="4"/>
  <c r="M62" i="4"/>
  <c r="L62" i="4"/>
  <c r="K62" i="4"/>
  <c r="J62" i="4"/>
  <c r="I62" i="4"/>
  <c r="H62" i="4"/>
  <c r="G62" i="4"/>
  <c r="F62" i="4"/>
  <c r="E62" i="4"/>
  <c r="D62" i="4"/>
  <c r="C62" i="4"/>
  <c r="B62" i="4"/>
  <c r="R61" i="4"/>
  <c r="Q61" i="4"/>
  <c r="P61" i="4"/>
  <c r="O61" i="4"/>
  <c r="N61" i="4"/>
  <c r="M61" i="4"/>
  <c r="L61" i="4"/>
  <c r="K61" i="4"/>
  <c r="J61" i="4"/>
  <c r="I61" i="4"/>
  <c r="H61" i="4"/>
  <c r="G61" i="4"/>
  <c r="F61" i="4"/>
  <c r="E61" i="4"/>
  <c r="D61" i="4"/>
  <c r="C61" i="4"/>
  <c r="B61" i="4"/>
  <c r="R60" i="4"/>
  <c r="Q60" i="4"/>
  <c r="P60" i="4"/>
  <c r="O60" i="4"/>
  <c r="N60" i="4"/>
  <c r="M60" i="4"/>
  <c r="L60" i="4"/>
  <c r="K60" i="4"/>
  <c r="J60" i="4"/>
  <c r="I60" i="4"/>
  <c r="H60" i="4"/>
  <c r="G60" i="4"/>
  <c r="F60" i="4"/>
  <c r="E60" i="4"/>
  <c r="D60" i="4"/>
  <c r="C60" i="4"/>
  <c r="B60" i="4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C59" i="4"/>
  <c r="B59" i="4"/>
  <c r="R58" i="4"/>
  <c r="Q58" i="4"/>
  <c r="P58" i="4"/>
  <c r="O58" i="4"/>
  <c r="N58" i="4"/>
  <c r="M58" i="4"/>
  <c r="L58" i="4"/>
  <c r="K58" i="4"/>
  <c r="J58" i="4"/>
  <c r="I58" i="4"/>
  <c r="H58" i="4"/>
  <c r="G58" i="4"/>
  <c r="F58" i="4"/>
  <c r="E58" i="4"/>
  <c r="D58" i="4"/>
  <c r="C58" i="4"/>
  <c r="B58" i="4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C57" i="4"/>
  <c r="B57" i="4"/>
  <c r="R56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C56" i="4"/>
  <c r="B56" i="4"/>
  <c r="R55" i="4"/>
  <c r="Q55" i="4"/>
  <c r="P55" i="4"/>
  <c r="O55" i="4"/>
  <c r="N55" i="4"/>
  <c r="M55" i="4"/>
  <c r="L55" i="4"/>
  <c r="K55" i="4"/>
  <c r="J55" i="4"/>
  <c r="I55" i="4"/>
  <c r="H55" i="4"/>
  <c r="G55" i="4"/>
  <c r="F55" i="4"/>
  <c r="E55" i="4"/>
  <c r="D55" i="4"/>
  <c r="C55" i="4"/>
  <c r="B55" i="4"/>
  <c r="R54" i="4"/>
  <c r="Q54" i="4"/>
  <c r="P54" i="4"/>
  <c r="O54" i="4"/>
  <c r="N54" i="4"/>
  <c r="M54" i="4"/>
  <c r="L54" i="4"/>
  <c r="K54" i="4"/>
  <c r="J54" i="4"/>
  <c r="I54" i="4"/>
  <c r="H54" i="4"/>
  <c r="G54" i="4"/>
  <c r="F54" i="4"/>
  <c r="E54" i="4"/>
  <c r="D54" i="4"/>
  <c r="C54" i="4"/>
  <c r="B54" i="4"/>
  <c r="R53" i="4"/>
  <c r="Q53" i="4"/>
  <c r="P53" i="4"/>
  <c r="O53" i="4"/>
  <c r="N53" i="4"/>
  <c r="M53" i="4"/>
  <c r="L53" i="4"/>
  <c r="K53" i="4"/>
  <c r="J53" i="4"/>
  <c r="I53" i="4"/>
  <c r="H53" i="4"/>
  <c r="G53" i="4"/>
  <c r="F53" i="4"/>
  <c r="E53" i="4"/>
  <c r="D53" i="4"/>
  <c r="C53" i="4"/>
  <c r="B53" i="4"/>
  <c r="R52" i="4"/>
  <c r="Q52" i="4"/>
  <c r="P52" i="4"/>
  <c r="O52" i="4"/>
  <c r="N52" i="4"/>
  <c r="M52" i="4"/>
  <c r="L52" i="4"/>
  <c r="K52" i="4"/>
  <c r="J52" i="4"/>
  <c r="I52" i="4"/>
  <c r="H52" i="4"/>
  <c r="G52" i="4"/>
  <c r="F52" i="4"/>
  <c r="E52" i="4"/>
  <c r="D52" i="4"/>
  <c r="C52" i="4"/>
  <c r="B52" i="4"/>
  <c r="R51" i="4"/>
  <c r="Q51" i="4"/>
  <c r="P51" i="4"/>
  <c r="O51" i="4"/>
  <c r="N51" i="4"/>
  <c r="M51" i="4"/>
  <c r="L51" i="4"/>
  <c r="K51" i="4"/>
  <c r="J51" i="4"/>
  <c r="I51" i="4"/>
  <c r="H51" i="4"/>
  <c r="G51" i="4"/>
  <c r="F51" i="4"/>
  <c r="E51" i="4"/>
  <c r="D51" i="4"/>
  <c r="C51" i="4"/>
  <c r="B51" i="4"/>
  <c r="R50" i="4"/>
  <c r="Q50" i="4"/>
  <c r="P50" i="4"/>
  <c r="O50" i="4"/>
  <c r="N50" i="4"/>
  <c r="M50" i="4"/>
  <c r="L50" i="4"/>
  <c r="K50" i="4"/>
  <c r="J50" i="4"/>
  <c r="I50" i="4"/>
  <c r="H50" i="4"/>
  <c r="G50" i="4"/>
  <c r="F50" i="4"/>
  <c r="E50" i="4"/>
  <c r="D50" i="4"/>
  <c r="C50" i="4"/>
  <c r="B50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B49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B48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B47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B46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B45" i="4"/>
  <c r="R44" i="4"/>
  <c r="S11" i="6"/>
  <c r="Q44" i="4"/>
  <c r="R11" i="6"/>
  <c r="P44" i="4"/>
  <c r="Q11" i="6"/>
  <c r="O44" i="4"/>
  <c r="P11" i="6"/>
  <c r="N44" i="4"/>
  <c r="O11" i="6"/>
  <c r="M44" i="4"/>
  <c r="N11" i="6"/>
  <c r="L44" i="4"/>
  <c r="M11" i="6"/>
  <c r="K44" i="4"/>
  <c r="L11" i="6"/>
  <c r="J44" i="4"/>
  <c r="K11" i="6"/>
  <c r="I44" i="4"/>
  <c r="J11" i="6"/>
  <c r="H44" i="4"/>
  <c r="I11" i="6"/>
  <c r="G44" i="4"/>
  <c r="H11" i="6"/>
  <c r="F44" i="4"/>
  <c r="G11" i="6"/>
  <c r="E44" i="4"/>
  <c r="F11" i="6"/>
  <c r="D44" i="4"/>
  <c r="E11" i="6"/>
  <c r="C44" i="4"/>
  <c r="D11" i="6"/>
  <c r="B44" i="4"/>
  <c r="C11" i="6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B43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B42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B41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B40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B39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B38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B37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B36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B35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B34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B33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C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A8" i="12"/>
  <c r="A9" i="12"/>
  <c r="A10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A40" i="12"/>
  <c r="A41" i="12"/>
  <c r="A42" i="12"/>
  <c r="A43" i="12"/>
  <c r="A44" i="12"/>
  <c r="A45" i="12"/>
  <c r="A46" i="12"/>
  <c r="A47" i="12"/>
  <c r="A48" i="12"/>
  <c r="A49" i="12"/>
  <c r="A50" i="12"/>
  <c r="C11" i="11"/>
  <c r="S11" i="11"/>
  <c r="R11" i="11"/>
  <c r="Q11" i="11"/>
  <c r="P11" i="11"/>
  <c r="O11" i="11"/>
  <c r="N11" i="11"/>
  <c r="M11" i="11"/>
  <c r="L11" i="11"/>
  <c r="K11" i="11"/>
  <c r="J11" i="11"/>
  <c r="I11" i="11"/>
  <c r="H11" i="11"/>
  <c r="G11" i="11"/>
  <c r="F11" i="11"/>
  <c r="E11" i="11"/>
  <c r="D11" i="11"/>
  <c r="N17" i="31"/>
  <c r="N19" i="31"/>
  <c r="N21" i="31"/>
  <c r="N23" i="31"/>
  <c r="N25" i="31"/>
  <c r="N27" i="31"/>
  <c r="N29" i="31"/>
  <c r="N31" i="31"/>
  <c r="N33" i="31"/>
  <c r="N35" i="31"/>
  <c r="N37" i="31"/>
  <c r="N39" i="31"/>
  <c r="N41" i="31"/>
  <c r="N43" i="31"/>
  <c r="N45" i="31"/>
  <c r="N47" i="31"/>
  <c r="N49" i="31"/>
  <c r="N51" i="31"/>
  <c r="N53" i="31"/>
  <c r="N55" i="31"/>
  <c r="N57" i="31"/>
  <c r="N59" i="31"/>
  <c r="N18" i="31"/>
  <c r="N20" i="31"/>
  <c r="N22" i="31"/>
  <c r="N24" i="31"/>
  <c r="N26" i="31"/>
  <c r="N28" i="31"/>
  <c r="N30" i="31"/>
  <c r="N32" i="31"/>
  <c r="N34" i="31"/>
  <c r="N36" i="31"/>
  <c r="N38" i="31"/>
  <c r="N40" i="31"/>
  <c r="N42" i="31"/>
  <c r="N44" i="31"/>
  <c r="N46" i="31"/>
  <c r="N48" i="31"/>
  <c r="N50" i="31"/>
  <c r="N52" i="31"/>
  <c r="N54" i="31"/>
  <c r="N56" i="31"/>
  <c r="N58" i="31"/>
  <c r="N60" i="31"/>
  <c r="K17" i="31"/>
  <c r="K19" i="31"/>
  <c r="K21" i="31"/>
  <c r="K23" i="31"/>
  <c r="K25" i="31"/>
  <c r="K27" i="31"/>
  <c r="K29" i="31"/>
  <c r="K31" i="31"/>
  <c r="K33" i="31"/>
  <c r="K35" i="31"/>
  <c r="K37" i="31"/>
  <c r="K39" i="31"/>
  <c r="K41" i="31"/>
  <c r="K43" i="31"/>
  <c r="K45" i="31"/>
  <c r="K47" i="31"/>
  <c r="K49" i="31"/>
  <c r="K51" i="31"/>
  <c r="K16" i="31"/>
  <c r="K18" i="31"/>
  <c r="K20" i="31"/>
  <c r="K22" i="31"/>
  <c r="K24" i="31"/>
  <c r="K26" i="31"/>
  <c r="K28" i="31"/>
  <c r="K30" i="31"/>
  <c r="K32" i="31"/>
  <c r="K34" i="31"/>
  <c r="K36" i="31"/>
  <c r="K38" i="31"/>
  <c r="K40" i="31"/>
  <c r="K42" i="31"/>
  <c r="K44" i="31"/>
  <c r="K46" i="31"/>
  <c r="K48" i="31"/>
  <c r="K50" i="31"/>
  <c r="K52" i="31"/>
  <c r="M121" i="33"/>
  <c r="N121" i="33"/>
  <c r="O121" i="33"/>
  <c r="N120" i="33"/>
  <c r="O120" i="33"/>
  <c r="L122" i="33"/>
  <c r="M122" i="33"/>
  <c r="N122" i="33"/>
  <c r="O122" i="33"/>
  <c r="L123" i="33"/>
  <c r="M123" i="33"/>
  <c r="N123" i="33"/>
  <c r="O123" i="33"/>
  <c r="L124" i="33"/>
  <c r="M124" i="33"/>
  <c r="N124" i="33"/>
  <c r="O124" i="33"/>
  <c r="L125" i="33"/>
  <c r="M125" i="33"/>
  <c r="N125" i="33"/>
  <c r="O125" i="33"/>
  <c r="L126" i="33"/>
  <c r="M126" i="33"/>
  <c r="N126" i="33"/>
  <c r="O126" i="33"/>
  <c r="L127" i="33"/>
  <c r="M127" i="33"/>
  <c r="L128" i="33"/>
  <c r="L129" i="33"/>
  <c r="M128" i="33"/>
  <c r="N128" i="33"/>
  <c r="O128" i="33"/>
  <c r="N127" i="33"/>
  <c r="O127" i="33"/>
  <c r="M129" i="33"/>
  <c r="N129" i="33"/>
  <c r="O129" i="33"/>
  <c r="L130" i="33"/>
  <c r="M130" i="33"/>
  <c r="N130" i="33"/>
  <c r="O130" i="33"/>
  <c r="L131" i="33"/>
  <c r="L132" i="33"/>
  <c r="M131" i="33"/>
  <c r="N131" i="33"/>
  <c r="O131" i="33"/>
  <c r="M132" i="33"/>
  <c r="L133" i="33"/>
  <c r="L134" i="33"/>
  <c r="N132" i="33"/>
  <c r="O132" i="33"/>
  <c r="M133" i="33"/>
  <c r="L135" i="33"/>
  <c r="M134" i="33"/>
  <c r="N133" i="33"/>
  <c r="O133" i="33"/>
  <c r="L136" i="33"/>
  <c r="M135" i="33"/>
  <c r="N134" i="33"/>
  <c r="O134" i="33"/>
  <c r="M136" i="33"/>
  <c r="N136" i="33"/>
  <c r="O136" i="33"/>
  <c r="L137" i="33"/>
  <c r="N135" i="33"/>
  <c r="O135" i="33"/>
  <c r="L138" i="33"/>
  <c r="M137" i="33"/>
  <c r="N137" i="33"/>
  <c r="O137" i="33"/>
  <c r="M138" i="33"/>
  <c r="N138" i="33"/>
  <c r="O138" i="33"/>
  <c r="L139" i="33"/>
  <c r="L140" i="33"/>
  <c r="M139" i="33"/>
  <c r="L141" i="33"/>
  <c r="M140" i="33"/>
  <c r="N139" i="33"/>
  <c r="O139" i="33"/>
  <c r="M141" i="33"/>
  <c r="N141" i="33"/>
  <c r="O141" i="33"/>
  <c r="L142" i="33"/>
  <c r="N140" i="33"/>
  <c r="O140" i="33"/>
  <c r="M142" i="33"/>
  <c r="N142" i="33"/>
  <c r="O142" i="33"/>
  <c r="L143" i="33"/>
  <c r="M143" i="33"/>
  <c r="N143" i="33"/>
  <c r="O143" i="33"/>
  <c r="L144" i="33"/>
  <c r="L145" i="33"/>
  <c r="M144" i="33"/>
  <c r="M145" i="33"/>
  <c r="N145" i="33"/>
  <c r="O145" i="33"/>
  <c r="N144" i="33"/>
  <c r="O144" i="33"/>
  <c r="L146" i="33"/>
  <c r="L147" i="33"/>
  <c r="M146" i="33"/>
  <c r="M147" i="33"/>
  <c r="N147" i="33"/>
  <c r="O147" i="33"/>
  <c r="N146" i="33"/>
  <c r="O146" i="33"/>
  <c r="L148" i="33"/>
  <c r="L149" i="33"/>
  <c r="M148" i="33"/>
  <c r="M149" i="33"/>
  <c r="N149" i="33"/>
  <c r="O149" i="33"/>
  <c r="L150" i="33"/>
  <c r="N148" i="33"/>
  <c r="O148" i="33"/>
  <c r="L151" i="33"/>
  <c r="M150" i="33"/>
  <c r="N150" i="33"/>
  <c r="O150" i="33"/>
  <c r="M151" i="33"/>
  <c r="N151" i="33"/>
  <c r="O151" i="33"/>
  <c r="L152" i="33"/>
  <c r="L153" i="33"/>
  <c r="M152" i="33"/>
  <c r="L154" i="33"/>
  <c r="M153" i="33"/>
  <c r="N152" i="33"/>
  <c r="O152" i="33"/>
  <c r="M154" i="33"/>
  <c r="N154" i="33"/>
  <c r="O154" i="33"/>
  <c r="L155" i="33"/>
  <c r="N153" i="33"/>
  <c r="O153" i="33"/>
  <c r="M155" i="33"/>
  <c r="N155" i="33"/>
  <c r="O155" i="33"/>
  <c r="L156" i="33"/>
  <c r="M156" i="33"/>
  <c r="N156" i="33"/>
  <c r="O156" i="33"/>
  <c r="L157" i="33"/>
  <c r="L158" i="33"/>
  <c r="M157" i="33"/>
  <c r="N157" i="33"/>
  <c r="O157" i="33"/>
  <c r="M158" i="33"/>
  <c r="L159" i="33"/>
  <c r="M159" i="33"/>
  <c r="L160" i="33"/>
  <c r="N158" i="33"/>
  <c r="N159" i="33"/>
  <c r="O159" i="33"/>
  <c r="O158" i="33"/>
  <c r="M160" i="33"/>
  <c r="L161" i="33"/>
  <c r="N160" i="33"/>
  <c r="O160" i="33"/>
  <c r="M161" i="33"/>
  <c r="L162" i="33"/>
  <c r="M162" i="33"/>
  <c r="N162" i="33"/>
  <c r="N161" i="33"/>
  <c r="L163" i="33"/>
  <c r="O162" i="33"/>
  <c r="O161" i="33"/>
  <c r="M163" i="33"/>
  <c r="L164" i="33"/>
  <c r="N163" i="33"/>
  <c r="O163" i="33"/>
  <c r="M164" i="33"/>
  <c r="L165" i="33"/>
  <c r="N164" i="33"/>
  <c r="O164" i="33"/>
  <c r="M165" i="33"/>
  <c r="L166" i="33"/>
  <c r="N165" i="33"/>
  <c r="O165" i="33"/>
  <c r="M166" i="33"/>
  <c r="N166" i="33"/>
  <c r="L167" i="33"/>
  <c r="O166" i="33"/>
  <c r="M167" i="33"/>
  <c r="L168" i="33"/>
  <c r="N167" i="33"/>
  <c r="O167" i="33"/>
  <c r="M168" i="33"/>
  <c r="L169" i="33"/>
  <c r="N168" i="33"/>
  <c r="O168" i="33"/>
  <c r="M169" i="33"/>
  <c r="L170" i="33"/>
  <c r="N169" i="33"/>
  <c r="O169" i="33"/>
  <c r="M170" i="33"/>
  <c r="L171" i="33"/>
  <c r="N170" i="33"/>
  <c r="O170" i="33"/>
  <c r="M171" i="33"/>
  <c r="L172" i="33"/>
  <c r="N171" i="33"/>
  <c r="O171" i="33"/>
  <c r="M172" i="33"/>
  <c r="L173" i="33"/>
  <c r="N172" i="33"/>
  <c r="O172" i="33"/>
  <c r="M173" i="33"/>
  <c r="L174" i="33"/>
  <c r="N173" i="33"/>
  <c r="O173" i="33"/>
  <c r="M174" i="33"/>
  <c r="L175" i="33"/>
  <c r="N174" i="33"/>
  <c r="O174" i="33"/>
  <c r="M175" i="33"/>
  <c r="L176" i="33"/>
  <c r="N175" i="33"/>
  <c r="O175" i="33"/>
  <c r="M176" i="33"/>
  <c r="L177" i="33"/>
  <c r="N176" i="33"/>
  <c r="O176" i="33"/>
  <c r="M177" i="33"/>
  <c r="L178" i="33"/>
  <c r="N177" i="33"/>
  <c r="O177" i="33"/>
  <c r="M178" i="33"/>
  <c r="L179" i="33"/>
  <c r="N178" i="33"/>
  <c r="O178" i="33"/>
  <c r="M179" i="33"/>
  <c r="L180" i="33"/>
  <c r="N179" i="33"/>
  <c r="O179" i="33"/>
  <c r="M180" i="33"/>
  <c r="L181" i="33"/>
  <c r="N180" i="33"/>
  <c r="O180" i="33"/>
  <c r="M181" i="33"/>
  <c r="L182" i="33"/>
  <c r="N181" i="33"/>
  <c r="O181" i="33"/>
  <c r="M182" i="33"/>
  <c r="L183" i="33"/>
  <c r="N182" i="33"/>
  <c r="O182" i="33"/>
  <c r="M183" i="33"/>
  <c r="L184" i="33"/>
  <c r="N183" i="33"/>
  <c r="O183" i="33"/>
  <c r="M184" i="33"/>
  <c r="L185" i="33"/>
  <c r="N184" i="33"/>
  <c r="O184" i="33"/>
  <c r="M185" i="33"/>
  <c r="L186" i="33"/>
  <c r="N185" i="33"/>
  <c r="O185" i="33"/>
  <c r="M186" i="33"/>
  <c r="L187" i="33"/>
  <c r="N186" i="33"/>
  <c r="O186" i="33"/>
  <c r="M187" i="33"/>
  <c r="L188" i="33"/>
  <c r="N187" i="33"/>
  <c r="O187" i="33"/>
  <c r="M188" i="33"/>
  <c r="L189" i="33"/>
  <c r="N188" i="33"/>
  <c r="O188" i="33"/>
  <c r="M189" i="33"/>
  <c r="L190" i="33"/>
  <c r="N189" i="33"/>
  <c r="O189" i="33"/>
  <c r="M190" i="33"/>
  <c r="L191" i="33"/>
  <c r="N190" i="33"/>
  <c r="O190" i="33"/>
  <c r="M191" i="33"/>
  <c r="L192" i="33"/>
  <c r="N191" i="33"/>
  <c r="O191" i="33"/>
  <c r="M192" i="33"/>
  <c r="L193" i="33"/>
  <c r="L194" i="33"/>
  <c r="N192" i="33"/>
  <c r="O192" i="33"/>
  <c r="M193" i="33"/>
  <c r="L195" i="33"/>
  <c r="L196" i="33"/>
  <c r="N193" i="33"/>
  <c r="O193" i="33"/>
  <c r="M194" i="33"/>
  <c r="L197" i="33"/>
  <c r="M195" i="33"/>
  <c r="N194" i="33"/>
  <c r="O194" i="33"/>
  <c r="L198" i="33"/>
  <c r="M196" i="33"/>
  <c r="N195" i="33"/>
  <c r="O195" i="33"/>
  <c r="L199" i="33"/>
  <c r="M197" i="33"/>
  <c r="N196" i="33"/>
  <c r="O196" i="33"/>
  <c r="L200" i="33"/>
  <c r="M198" i="33"/>
  <c r="N197" i="33"/>
  <c r="O197" i="33"/>
  <c r="L201" i="33"/>
  <c r="M199" i="33"/>
  <c r="N198" i="33"/>
  <c r="O198" i="33"/>
  <c r="L202" i="33"/>
  <c r="M200" i="33"/>
  <c r="N199" i="33"/>
  <c r="O199" i="33"/>
  <c r="L203" i="33"/>
  <c r="M201" i="33"/>
  <c r="N200" i="33"/>
  <c r="O200" i="33"/>
  <c r="L204" i="33"/>
  <c r="M202" i="33"/>
  <c r="N201" i="33"/>
  <c r="O201" i="33"/>
  <c r="L205" i="33"/>
  <c r="M203" i="33"/>
  <c r="N202" i="33"/>
  <c r="O202" i="33"/>
  <c r="L206" i="33"/>
  <c r="M204" i="33"/>
  <c r="N203" i="33"/>
  <c r="O203" i="33"/>
  <c r="L207" i="33"/>
  <c r="M205" i="33"/>
  <c r="N204" i="33"/>
  <c r="O204" i="33"/>
  <c r="L208" i="33"/>
  <c r="N205" i="33"/>
  <c r="O205" i="33"/>
  <c r="M206" i="33"/>
  <c r="L209" i="33"/>
  <c r="L210" i="33"/>
  <c r="M207" i="33"/>
  <c r="N206" i="33"/>
  <c r="O206" i="33"/>
  <c r="L211" i="33"/>
  <c r="M208" i="33"/>
  <c r="N207" i="33"/>
  <c r="O207" i="33"/>
  <c r="M209" i="33"/>
  <c r="N208" i="33"/>
  <c r="O208" i="33"/>
  <c r="L212" i="33"/>
  <c r="L213" i="33"/>
  <c r="L214" i="33"/>
  <c r="M210" i="33"/>
  <c r="N209" i="33"/>
  <c r="O209" i="33"/>
  <c r="L215" i="33"/>
  <c r="M211" i="33"/>
  <c r="N210" i="33"/>
  <c r="O210" i="33"/>
  <c r="L216" i="33"/>
  <c r="M212" i="33"/>
  <c r="N211" i="33"/>
  <c r="O211" i="33"/>
  <c r="L217" i="33"/>
  <c r="L218" i="33"/>
  <c r="M213" i="33"/>
  <c r="N212" i="33"/>
  <c r="O212" i="33"/>
  <c r="N213" i="33"/>
  <c r="O213" i="33"/>
  <c r="M214" i="33"/>
  <c r="M215" i="33"/>
  <c r="L219" i="33"/>
  <c r="N214" i="33"/>
  <c r="O214" i="33"/>
  <c r="L220" i="33"/>
  <c r="M216" i="33"/>
  <c r="N215" i="33"/>
  <c r="O215" i="33"/>
  <c r="L221" i="33"/>
  <c r="N216" i="33"/>
  <c r="O216" i="33"/>
  <c r="M217" i="33"/>
  <c r="L222" i="33"/>
  <c r="N217" i="33"/>
  <c r="O217" i="33"/>
  <c r="M218" i="33"/>
  <c r="M219" i="33"/>
  <c r="L223" i="33"/>
  <c r="N218" i="33"/>
  <c r="O218" i="33"/>
  <c r="L224" i="33"/>
  <c r="M220" i="33"/>
  <c r="N219" i="33"/>
  <c r="O219" i="33"/>
  <c r="L225" i="33"/>
  <c r="N220" i="33"/>
  <c r="O220" i="33"/>
  <c r="M221" i="33"/>
  <c r="L226" i="33"/>
  <c r="M222" i="33"/>
  <c r="N221" i="33"/>
  <c r="O221" i="33"/>
  <c r="L227" i="33"/>
  <c r="N222" i="33"/>
  <c r="O222" i="33"/>
  <c r="M223" i="33"/>
  <c r="L228" i="33"/>
  <c r="N223" i="33"/>
  <c r="O223" i="33"/>
  <c r="M224" i="33"/>
  <c r="L229" i="33"/>
  <c r="M225" i="33"/>
  <c r="N224" i="33"/>
  <c r="O224" i="33"/>
  <c r="L230" i="33"/>
  <c r="L231" i="33"/>
  <c r="M226" i="33"/>
  <c r="N225" i="33"/>
  <c r="O225" i="33"/>
  <c r="L232" i="33"/>
  <c r="L233" i="33"/>
  <c r="M227" i="33"/>
  <c r="N226" i="33"/>
  <c r="O226" i="33"/>
  <c r="L234" i="33"/>
  <c r="M228" i="33"/>
  <c r="N227" i="33"/>
  <c r="O227" i="33"/>
  <c r="L235" i="33"/>
  <c r="L236" i="33"/>
  <c r="M229" i="33"/>
  <c r="N228" i="33"/>
  <c r="O228" i="33"/>
  <c r="N229" i="33"/>
  <c r="O229" i="33"/>
  <c r="M230" i="33"/>
  <c r="L237" i="33"/>
  <c r="L238" i="33"/>
  <c r="M231" i="33"/>
  <c r="N230" i="33"/>
  <c r="O230" i="33"/>
  <c r="L239" i="33"/>
  <c r="M232" i="33"/>
  <c r="N231" i="33"/>
  <c r="O231" i="33"/>
  <c r="M233" i="33"/>
  <c r="N232" i="33"/>
  <c r="O232" i="33"/>
  <c r="L240" i="33"/>
  <c r="L241" i="33"/>
  <c r="M234" i="33"/>
  <c r="N233" i="33"/>
  <c r="O233" i="33"/>
  <c r="L242" i="33"/>
  <c r="M235" i="33"/>
  <c r="N234" i="33"/>
  <c r="O234" i="33"/>
  <c r="M236" i="33"/>
  <c r="N235" i="33"/>
  <c r="O235" i="33"/>
  <c r="M237" i="33"/>
  <c r="N236" i="33"/>
  <c r="O236" i="33"/>
  <c r="M238" i="33"/>
  <c r="N237" i="33"/>
  <c r="O237" i="33"/>
  <c r="M239" i="33"/>
  <c r="N238" i="33"/>
  <c r="O238" i="33"/>
  <c r="M240" i="33"/>
  <c r="N239" i="33"/>
  <c r="O239" i="33"/>
  <c r="M241" i="33"/>
  <c r="M242" i="33"/>
  <c r="N240" i="33"/>
  <c r="O240" i="33"/>
  <c r="N242" i="33"/>
  <c r="O242" i="33"/>
  <c r="N241" i="33"/>
  <c r="O241" i="33"/>
  <c r="N243" i="33"/>
  <c r="O243" i="33"/>
  <c r="N244" i="33"/>
  <c r="O244" i="33"/>
  <c r="N245" i="33"/>
  <c r="O245" i="33"/>
  <c r="N246" i="33"/>
  <c r="O246" i="33"/>
  <c r="N247" i="33"/>
  <c r="O247" i="33"/>
  <c r="N248" i="33"/>
  <c r="O248" i="33"/>
  <c r="N249" i="33"/>
  <c r="O249" i="33"/>
  <c r="N251" i="33"/>
  <c r="O251" i="33"/>
  <c r="N250" i="33"/>
  <c r="O250" i="33"/>
  <c r="N252" i="33"/>
  <c r="O252" i="33"/>
  <c r="N253" i="33"/>
  <c r="O253" i="33"/>
  <c r="N254" i="33"/>
  <c r="O254" i="33"/>
  <c r="N255" i="33"/>
  <c r="O255" i="33"/>
  <c r="N256" i="33"/>
  <c r="O256" i="33"/>
  <c r="N257" i="33"/>
  <c r="O257" i="33"/>
  <c r="N258" i="33"/>
  <c r="O258" i="33"/>
  <c r="N259" i="33"/>
  <c r="O259" i="33"/>
  <c r="N260" i="33"/>
  <c r="O260" i="33"/>
  <c r="N261" i="33"/>
  <c r="O261" i="33"/>
  <c r="N262" i="33"/>
  <c r="O262" i="33"/>
  <c r="N263" i="33"/>
  <c r="O263" i="33"/>
  <c r="N264" i="33"/>
  <c r="O264" i="33"/>
  <c r="N265" i="33"/>
  <c r="O265" i="33"/>
  <c r="N266" i="33"/>
  <c r="O266" i="33"/>
  <c r="N267" i="33"/>
  <c r="O267" i="33"/>
  <c r="N268" i="33"/>
  <c r="O268" i="33"/>
  <c r="N269" i="33"/>
  <c r="O269" i="33"/>
  <c r="N270" i="33"/>
  <c r="O270" i="33"/>
  <c r="N271" i="33"/>
  <c r="O271" i="33"/>
  <c r="N272" i="33"/>
  <c r="O272" i="33"/>
  <c r="N273" i="33"/>
  <c r="O273" i="33"/>
  <c r="N274" i="33"/>
  <c r="O274" i="33"/>
  <c r="N275" i="33"/>
  <c r="O275" i="33"/>
  <c r="N276" i="33"/>
  <c r="O276" i="33"/>
  <c r="N277" i="33"/>
  <c r="O277" i="33"/>
  <c r="N278" i="33"/>
  <c r="O278" i="33"/>
  <c r="N279" i="33"/>
  <c r="O279" i="33"/>
  <c r="N280" i="33"/>
  <c r="O280" i="33"/>
  <c r="N282" i="33"/>
  <c r="O282" i="33"/>
  <c r="N281" i="33"/>
  <c r="O281" i="33"/>
  <c r="N283" i="33"/>
  <c r="O283" i="33"/>
  <c r="N284" i="33"/>
  <c r="O284" i="33"/>
  <c r="N285" i="33"/>
  <c r="O285" i="33"/>
  <c r="N286" i="33"/>
  <c r="O286" i="33"/>
  <c r="N287" i="33"/>
  <c r="O287" i="33"/>
  <c r="N289" i="33"/>
  <c r="O289" i="33"/>
  <c r="N288" i="33"/>
  <c r="O288" i="33"/>
  <c r="H221" i="52"/>
  <c r="I221" i="52" s="1"/>
  <c r="G221" i="52"/>
  <c r="H219" i="52"/>
  <c r="I219" i="52"/>
  <c r="G219" i="52"/>
  <c r="H220" i="52"/>
  <c r="I220" i="52" s="1"/>
  <c r="J298" i="33"/>
  <c r="K298" i="33"/>
  <c r="J290" i="33"/>
  <c r="K290" i="33"/>
  <c r="J293" i="33"/>
  <c r="K293" i="33"/>
  <c r="G224" i="52"/>
  <c r="G223" i="52"/>
  <c r="H223" i="52"/>
  <c r="I223" i="52"/>
  <c r="G222" i="52"/>
  <c r="H222" i="52"/>
  <c r="I222" i="52" s="1"/>
  <c r="H37" i="52"/>
  <c r="I37" i="52"/>
  <c r="H41" i="52"/>
  <c r="I41" i="52"/>
  <c r="H57" i="52"/>
  <c r="I57" i="52"/>
  <c r="G65" i="52"/>
  <c r="H73" i="52"/>
  <c r="I73" i="52" s="1"/>
  <c r="G102" i="52"/>
  <c r="G111" i="52"/>
  <c r="G113" i="52"/>
  <c r="H89" i="52"/>
  <c r="I89" i="52"/>
  <c r="H81" i="52"/>
  <c r="I81" i="52" s="1"/>
  <c r="G121" i="52"/>
  <c r="G123" i="52"/>
  <c r="H137" i="52"/>
  <c r="I137" i="52" s="1"/>
  <c r="G156" i="52"/>
  <c r="H169" i="52"/>
  <c r="I169" i="52" s="1"/>
  <c r="G13" i="52"/>
  <c r="G17" i="52"/>
  <c r="G82" i="52"/>
  <c r="G116" i="52"/>
  <c r="G166" i="52"/>
  <c r="G160" i="52"/>
  <c r="G210" i="52"/>
  <c r="G206" i="52"/>
  <c r="H147" i="52"/>
  <c r="I147" i="52"/>
  <c r="G163" i="52"/>
  <c r="H173" i="52"/>
  <c r="I173" i="52" s="1"/>
  <c r="H170" i="52"/>
  <c r="I170" i="52"/>
  <c r="G214" i="52"/>
  <c r="H130" i="52"/>
  <c r="I130" i="52" s="1"/>
  <c r="H138" i="52"/>
  <c r="I138" i="52" s="1"/>
  <c r="H213" i="52"/>
  <c r="I213" i="52"/>
  <c r="J319" i="33"/>
  <c r="K319" i="33" s="1"/>
  <c r="K292" i="32"/>
  <c r="L292" i="32"/>
  <c r="K290" i="32"/>
  <c r="L290" i="32"/>
  <c r="K301" i="32"/>
  <c r="K293" i="32"/>
  <c r="K296" i="32"/>
  <c r="M296" i="32"/>
  <c r="K300" i="32"/>
  <c r="M300" i="32"/>
  <c r="K295" i="32"/>
  <c r="K294" i="32"/>
  <c r="K298" i="32"/>
  <c r="M298" i="32"/>
  <c r="K299" i="32"/>
  <c r="M299" i="32"/>
  <c r="K297" i="32"/>
  <c r="M292" i="32"/>
  <c r="M290" i="32"/>
  <c r="L301" i="32"/>
  <c r="M301" i="32"/>
  <c r="L293" i="32"/>
  <c r="M293" i="32"/>
  <c r="L296" i="32"/>
  <c r="L300" i="32"/>
  <c r="L295" i="32"/>
  <c r="M295" i="32"/>
  <c r="L291" i="32"/>
  <c r="M291" i="32"/>
  <c r="L294" i="32"/>
  <c r="M294" i="32"/>
  <c r="L298" i="32"/>
  <c r="L297" i="32"/>
  <c r="M297" i="32"/>
  <c r="J301" i="33"/>
  <c r="K301" i="33"/>
  <c r="J300" i="33"/>
  <c r="K300" i="33"/>
  <c r="J320" i="33"/>
  <c r="K320" i="33" s="1"/>
  <c r="J297" i="33"/>
  <c r="K297" i="33"/>
  <c r="J292" i="33"/>
  <c r="K292" i="33"/>
  <c r="J295" i="33"/>
  <c r="K295" i="33"/>
  <c r="J294" i="33"/>
  <c r="K294" i="33"/>
  <c r="G49" i="52"/>
  <c r="H21" i="52"/>
  <c r="I21" i="52" s="1"/>
  <c r="G36" i="52"/>
  <c r="G40" i="52"/>
  <c r="G50" i="52"/>
  <c r="G54" i="52"/>
  <c r="G72" i="52"/>
  <c r="H67" i="52"/>
  <c r="I67" i="52"/>
  <c r="G87" i="52"/>
  <c r="G108" i="52"/>
  <c r="G95" i="52"/>
  <c r="H127" i="52"/>
  <c r="I127" i="52" s="1"/>
  <c r="G144" i="52"/>
  <c r="G150" i="52"/>
  <c r="H171" i="52"/>
  <c r="I171" i="52" s="1"/>
  <c r="H218" i="52"/>
  <c r="I218" i="52" s="1"/>
  <c r="G208" i="52"/>
  <c r="G202" i="52"/>
  <c r="G90" i="52"/>
  <c r="G79" i="52"/>
  <c r="G12" i="52"/>
  <c r="G26" i="52"/>
  <c r="G30" i="52"/>
  <c r="G44" i="52"/>
  <c r="H25" i="52"/>
  <c r="I25" i="52" s="1"/>
  <c r="G77" i="52"/>
  <c r="G101" i="52"/>
  <c r="G105" i="52"/>
  <c r="G112" i="52"/>
  <c r="G103" i="52"/>
  <c r="H117" i="52"/>
  <c r="I117" i="52" s="1"/>
  <c r="H140" i="52"/>
  <c r="I140" i="52" s="1"/>
  <c r="H131" i="52"/>
  <c r="I131" i="52"/>
  <c r="H142" i="52"/>
  <c r="I142" i="52" s="1"/>
  <c r="G155" i="52"/>
  <c r="G161" i="52"/>
  <c r="H209" i="52"/>
  <c r="I209" i="52" s="1"/>
  <c r="G97" i="52"/>
  <c r="G80" i="52"/>
  <c r="G99" i="52"/>
  <c r="H141" i="52"/>
  <c r="I141" i="52" s="1"/>
  <c r="G151" i="52"/>
  <c r="G162" i="52"/>
  <c r="H236" i="52"/>
  <c r="I236" i="52" s="1"/>
  <c r="G236" i="52"/>
  <c r="G235" i="52"/>
  <c r="H235" i="52"/>
  <c r="I235" i="52" s="1"/>
  <c r="H234" i="52"/>
  <c r="I234" i="52" s="1"/>
  <c r="G234" i="52"/>
  <c r="J313" i="33"/>
  <c r="K313" i="33"/>
  <c r="G233" i="52"/>
  <c r="H233" i="52"/>
  <c r="I233" i="52" s="1"/>
  <c r="H231" i="52"/>
  <c r="I231" i="52"/>
  <c r="G231" i="52"/>
  <c r="H232" i="52"/>
  <c r="I232" i="52" s="1"/>
  <c r="G232" i="52"/>
  <c r="J312" i="33"/>
  <c r="K312" i="33"/>
  <c r="J303" i="33"/>
  <c r="K303" i="33" s="1"/>
  <c r="J310" i="33"/>
  <c r="K310" i="33"/>
  <c r="J306" i="33"/>
  <c r="K306" i="33" s="1"/>
  <c r="J308" i="33"/>
  <c r="K308" i="33"/>
  <c r="J304" i="33"/>
  <c r="K304" i="33" s="1"/>
  <c r="J309" i="33"/>
  <c r="K309" i="33"/>
  <c r="J305" i="33"/>
  <c r="K305" i="33" s="1"/>
  <c r="J311" i="33"/>
  <c r="K311" i="33"/>
  <c r="J307" i="33"/>
  <c r="K307" i="33" s="1"/>
  <c r="L299" i="32"/>
  <c r="J318" i="33" l="1"/>
  <c r="K318" i="33" s="1"/>
  <c r="J317" i="33"/>
  <c r="K317" i="33" s="1"/>
  <c r="J316" i="33"/>
  <c r="K316" i="33" s="1"/>
  <c r="J321" i="33"/>
  <c r="K321" i="33" s="1"/>
  <c r="J326" i="33"/>
  <c r="K326" i="33" s="1"/>
  <c r="J327" i="33"/>
  <c r="K327" i="33" s="1"/>
  <c r="U327" i="33" s="1"/>
  <c r="V327" i="33" s="1"/>
  <c r="J328" i="33"/>
  <c r="K328" i="33" s="1"/>
  <c r="U328" i="33" s="1"/>
  <c r="V328" i="33" s="1"/>
  <c r="J314" i="33"/>
  <c r="K314" i="33" s="1"/>
  <c r="J315" i="33"/>
  <c r="K315" i="33" s="1"/>
  <c r="G212" i="52"/>
  <c r="G229" i="52"/>
  <c r="G237" i="52"/>
  <c r="G167" i="52"/>
  <c r="G217" i="52"/>
  <c r="H149" i="52"/>
  <c r="I149" i="52" s="1"/>
  <c r="H158" i="52"/>
  <c r="I158" i="52" s="1"/>
  <c r="G153" i="52"/>
  <c r="H168" i="52"/>
  <c r="I168" i="52" s="1"/>
  <c r="H207" i="52"/>
  <c r="I207" i="52" s="1"/>
  <c r="G238" i="52"/>
  <c r="G239" i="52"/>
  <c r="G245" i="52"/>
  <c r="H148" i="52"/>
  <c r="I148" i="52" s="1"/>
  <c r="H172" i="52"/>
  <c r="I172" i="52" s="1"/>
  <c r="H201" i="52"/>
  <c r="I201" i="52" s="1"/>
  <c r="M336" i="32"/>
  <c r="M329" i="32"/>
  <c r="M330" i="32"/>
  <c r="M332" i="32"/>
  <c r="M326" i="32"/>
  <c r="M337" i="32"/>
  <c r="M333" i="32"/>
  <c r="M334" i="32"/>
  <c r="J323" i="33"/>
  <c r="K323" i="33" s="1"/>
  <c r="K325" i="32"/>
  <c r="M325" i="32" s="1"/>
  <c r="H248" i="52"/>
  <c r="I248" i="52" s="1"/>
  <c r="G248" i="52"/>
  <c r="H246" i="52"/>
  <c r="I246" i="52" s="1"/>
  <c r="G246" i="52"/>
  <c r="H247" i="52"/>
  <c r="I247" i="52" s="1"/>
  <c r="G247" i="52"/>
  <c r="J325" i="33"/>
  <c r="K325" i="33" s="1"/>
  <c r="K317" i="32"/>
  <c r="M317" i="32" s="1"/>
  <c r="J324" i="33"/>
  <c r="K324" i="33" s="1"/>
  <c r="K323" i="32"/>
  <c r="K324" i="32"/>
  <c r="L324" i="32" s="1"/>
  <c r="K321" i="32"/>
  <c r="M321" i="32" s="1"/>
  <c r="K307" i="32"/>
  <c r="L307" i="32" s="1"/>
  <c r="K309" i="32"/>
  <c r="M309" i="32" s="1"/>
  <c r="K318" i="32"/>
  <c r="M318" i="32" s="1"/>
  <c r="K319" i="32"/>
  <c r="K320" i="32"/>
  <c r="M320" i="32" s="1"/>
  <c r="K302" i="32"/>
  <c r="M302" i="32" s="1"/>
  <c r="K308" i="32"/>
  <c r="L308" i="32" s="1"/>
  <c r="K310" i="32"/>
  <c r="K322" i="32"/>
  <c r="L322" i="32" s="1"/>
  <c r="K304" i="32"/>
  <c r="K306" i="32"/>
  <c r="M306" i="32" s="1"/>
  <c r="K312" i="32"/>
  <c r="K314" i="32"/>
  <c r="M314" i="32" s="1"/>
  <c r="K315" i="32"/>
  <c r="K316" i="32"/>
  <c r="M307" i="32"/>
  <c r="L309" i="32"/>
  <c r="L302" i="32"/>
  <c r="M310" i="32"/>
  <c r="L310" i="32"/>
  <c r="L325" i="32"/>
  <c r="M303" i="32"/>
  <c r="L303" i="32"/>
  <c r="M305" i="32"/>
  <c r="L305" i="32"/>
  <c r="L311" i="32"/>
  <c r="M311" i="32"/>
  <c r="M313" i="32"/>
  <c r="L313" i="32"/>
  <c r="L304" i="32"/>
  <c r="M304" i="32"/>
  <c r="L312" i="32"/>
  <c r="M312" i="32"/>
  <c r="M324" i="32" l="1"/>
  <c r="M315" i="32"/>
  <c r="L327" i="32"/>
  <c r="L323" i="32"/>
  <c r="L335" i="32"/>
  <c r="L337" i="32"/>
  <c r="L334" i="32"/>
  <c r="L332" i="32"/>
  <c r="L329" i="32"/>
  <c r="M319" i="32"/>
  <c r="L331" i="32"/>
  <c r="L333" i="32"/>
  <c r="L326" i="32"/>
  <c r="L330" i="32"/>
  <c r="M316" i="32"/>
  <c r="L328" i="32"/>
  <c r="L336" i="32"/>
  <c r="L317" i="32"/>
  <c r="M323" i="32"/>
  <c r="M322" i="32"/>
  <c r="L315" i="32"/>
  <c r="L321" i="32"/>
  <c r="M308" i="32"/>
  <c r="L320" i="32"/>
  <c r="L318" i="32"/>
  <c r="L316" i="32"/>
  <c r="L314" i="32"/>
  <c r="L306" i="32"/>
  <c r="L319" i="32"/>
</calcChain>
</file>

<file path=xl/sharedStrings.xml><?xml version="1.0" encoding="utf-8"?>
<sst xmlns="http://schemas.openxmlformats.org/spreadsheetml/2006/main" count="2668" uniqueCount="428">
  <si>
    <t>基準値α</t>
    <rPh sb="0" eb="3">
      <t>キジュンチ</t>
    </rPh>
    <phoneticPr fontId="2"/>
  </si>
  <si>
    <t>推定値β</t>
    <rPh sb="0" eb="3">
      <t>スイテイチ</t>
    </rPh>
    <phoneticPr fontId="2"/>
  </si>
  <si>
    <t>G</t>
    <phoneticPr fontId="2"/>
  </si>
  <si>
    <t>H</t>
    <phoneticPr fontId="2"/>
  </si>
  <si>
    <t>P</t>
    <phoneticPr fontId="2"/>
  </si>
  <si>
    <t>Q</t>
    <phoneticPr fontId="2"/>
  </si>
  <si>
    <t>R</t>
    <phoneticPr fontId="2"/>
  </si>
  <si>
    <t>データ名</t>
    <rPh sb="3" eb="4">
      <t>メイ</t>
    </rPh>
    <phoneticPr fontId="2"/>
  </si>
  <si>
    <t>牛乳生産費の費目</t>
    <rPh sb="0" eb="2">
      <t>ギュウニュウ</t>
    </rPh>
    <rPh sb="2" eb="4">
      <t>セイサン</t>
    </rPh>
    <rPh sb="4" eb="5">
      <t>ヒ</t>
    </rPh>
    <rPh sb="6" eb="8">
      <t>ヒモク</t>
    </rPh>
    <phoneticPr fontId="2"/>
  </si>
  <si>
    <t>建物費</t>
    <rPh sb="0" eb="2">
      <t>タテモノ</t>
    </rPh>
    <rPh sb="2" eb="3">
      <t>ヒ</t>
    </rPh>
    <phoneticPr fontId="2"/>
  </si>
  <si>
    <t>農機具費</t>
    <rPh sb="0" eb="3">
      <t>ノウキグ</t>
    </rPh>
    <rPh sb="3" eb="4">
      <t>ヒ</t>
    </rPh>
    <phoneticPr fontId="2"/>
  </si>
  <si>
    <t>生産管理費</t>
    <rPh sb="0" eb="2">
      <t>セイサン</t>
    </rPh>
    <rPh sb="2" eb="5">
      <t>カンリヒ</t>
    </rPh>
    <phoneticPr fontId="2"/>
  </si>
  <si>
    <t>労働費（家族労働費）</t>
    <rPh sb="0" eb="3">
      <t>ロウドウヒ</t>
    </rPh>
    <rPh sb="4" eb="6">
      <t>カゾク</t>
    </rPh>
    <rPh sb="6" eb="9">
      <t>ロウドウヒ</t>
    </rPh>
    <phoneticPr fontId="2"/>
  </si>
  <si>
    <t>労働費（雇用労働費）</t>
    <rPh sb="0" eb="3">
      <t>ロウドウヒ</t>
    </rPh>
    <rPh sb="4" eb="6">
      <t>コヨウ</t>
    </rPh>
    <rPh sb="6" eb="9">
      <t>ロウドウヒ</t>
    </rPh>
    <phoneticPr fontId="2"/>
  </si>
  <si>
    <t>副産物費（子牛）</t>
    <rPh sb="0" eb="3">
      <t>フクサンブツ</t>
    </rPh>
    <rPh sb="3" eb="4">
      <t>ヒ</t>
    </rPh>
    <rPh sb="5" eb="7">
      <t>コウシ</t>
    </rPh>
    <phoneticPr fontId="2"/>
  </si>
  <si>
    <t>副産物費（厩肥）</t>
    <rPh sb="0" eb="3">
      <t>フクサンブツ</t>
    </rPh>
    <rPh sb="3" eb="4">
      <t>ヒ</t>
    </rPh>
    <rPh sb="5" eb="7">
      <t>キュウヒ</t>
    </rPh>
    <phoneticPr fontId="2"/>
  </si>
  <si>
    <t>支払利子･自己資本利子</t>
    <rPh sb="0" eb="2">
      <t>シハラ</t>
    </rPh>
    <rPh sb="2" eb="4">
      <t>リシ</t>
    </rPh>
    <rPh sb="5" eb="7">
      <t>ジコ</t>
    </rPh>
    <rPh sb="7" eb="9">
      <t>シホン</t>
    </rPh>
    <rPh sb="9" eb="11">
      <t>リシ</t>
    </rPh>
    <phoneticPr fontId="2"/>
  </si>
  <si>
    <t>活用指標</t>
    <rPh sb="0" eb="2">
      <t>カツヨウ</t>
    </rPh>
    <rPh sb="2" eb="4">
      <t>シヒョウ</t>
    </rPh>
    <phoneticPr fontId="2"/>
  </si>
  <si>
    <t>農業生産資材品目別価格指数</t>
    <rPh sb="0" eb="2">
      <t>ノウギョウ</t>
    </rPh>
    <rPh sb="2" eb="4">
      <t>セイサン</t>
    </rPh>
    <rPh sb="4" eb="6">
      <t>シザイ</t>
    </rPh>
    <rPh sb="6" eb="8">
      <t>ヒンモク</t>
    </rPh>
    <rPh sb="8" eb="9">
      <t>ベツ</t>
    </rPh>
    <rPh sb="9" eb="11">
      <t>カカク</t>
    </rPh>
    <rPh sb="11" eb="13">
      <t>シスウ</t>
    </rPh>
    <phoneticPr fontId="2"/>
  </si>
  <si>
    <t>「毎月勤労統計」の「事業規模５人以上製造業」の現金給与総額</t>
    <rPh sb="1" eb="3">
      <t>マイツキ</t>
    </rPh>
    <rPh sb="3" eb="5">
      <t>キンロウ</t>
    </rPh>
    <rPh sb="5" eb="7">
      <t>トウケイ</t>
    </rPh>
    <rPh sb="10" eb="12">
      <t>ジギョウ</t>
    </rPh>
    <rPh sb="12" eb="14">
      <t>キボ</t>
    </rPh>
    <rPh sb="15" eb="18">
      <t>ニンイジョウ</t>
    </rPh>
    <rPh sb="18" eb="21">
      <t>セイゾウギョウ</t>
    </rPh>
    <rPh sb="23" eb="25">
      <t>ゲンキン</t>
    </rPh>
    <rPh sb="25" eb="27">
      <t>キュウヨ</t>
    </rPh>
    <rPh sb="27" eb="29">
      <t>ソウガク</t>
    </rPh>
    <phoneticPr fontId="2"/>
  </si>
  <si>
    <t>平成1３年牛乳生産費等</t>
    <rPh sb="0" eb="2">
      <t>ヘイセイ</t>
    </rPh>
    <rPh sb="4" eb="5">
      <t>ネン</t>
    </rPh>
    <rPh sb="5" eb="7">
      <t>ギュウニュウ</t>
    </rPh>
    <rPh sb="7" eb="10">
      <t>セイサンヒ</t>
    </rPh>
    <rPh sb="10" eb="11">
      <t>トウ</t>
    </rPh>
    <phoneticPr fontId="2"/>
  </si>
  <si>
    <t>農業近代化資金利子</t>
    <rPh sb="0" eb="2">
      <t>ノウギョウ</t>
    </rPh>
    <rPh sb="2" eb="5">
      <t>キンダイカ</t>
    </rPh>
    <rPh sb="5" eb="7">
      <t>シキン</t>
    </rPh>
    <rPh sb="7" eb="9">
      <t>リシ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</si>
  <si>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</si>
  <si>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</si>
  <si>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総合</t>
    <rPh sb="0" eb="2">
      <t>ソウゴウ</t>
    </rPh>
    <phoneticPr fontId="2"/>
  </si>
  <si>
    <t>平均価格</t>
    <rPh sb="0" eb="2">
      <t>ヘイキン</t>
    </rPh>
    <rPh sb="2" eb="4">
      <t>カカク</t>
    </rPh>
    <phoneticPr fontId="2"/>
  </si>
  <si>
    <t>厩肥価額</t>
    <rPh sb="0" eb="2">
      <t>キュウヒ</t>
    </rPh>
    <rPh sb="2" eb="4">
      <t>カガク</t>
    </rPh>
    <phoneticPr fontId="2"/>
  </si>
  <si>
    <t>変更日</t>
    <rPh sb="0" eb="2">
      <t>ヘンコウ</t>
    </rPh>
    <rPh sb="2" eb="3">
      <t>ヒ</t>
    </rPh>
    <phoneticPr fontId="2"/>
  </si>
  <si>
    <t>末端利率(%)（日割修正後）</t>
    <rPh sb="0" eb="2">
      <t>マッタン</t>
    </rPh>
    <rPh sb="2" eb="4">
      <t>リリツ</t>
    </rPh>
    <rPh sb="8" eb="10">
      <t>ヒワ</t>
    </rPh>
    <rPh sb="10" eb="12">
      <t>シュウセイ</t>
    </rPh>
    <rPh sb="12" eb="13">
      <t>ゴ</t>
    </rPh>
    <phoneticPr fontId="2"/>
  </si>
  <si>
    <t>ウエイト</t>
  </si>
  <si>
    <t>－</t>
  </si>
  <si>
    <t>種付け料</t>
    <rPh sb="0" eb="2">
      <t>タネツ</t>
    </rPh>
    <rPh sb="3" eb="4">
      <t>リョウ</t>
    </rPh>
    <phoneticPr fontId="2"/>
  </si>
  <si>
    <t>飼料費（流通飼料費）</t>
    <rPh sb="0" eb="2">
      <t>シリョウ</t>
    </rPh>
    <rPh sb="2" eb="3">
      <t>ヒ</t>
    </rPh>
    <rPh sb="4" eb="6">
      <t>リュウツウ</t>
    </rPh>
    <rPh sb="6" eb="8">
      <t>シリョウ</t>
    </rPh>
    <rPh sb="8" eb="9">
      <t>ヒ</t>
    </rPh>
    <phoneticPr fontId="2"/>
  </si>
  <si>
    <t>飼料費（牧草・放牧･採草）</t>
    <rPh sb="0" eb="2">
      <t>シリョウ</t>
    </rPh>
    <rPh sb="2" eb="3">
      <t>ヒ</t>
    </rPh>
    <rPh sb="4" eb="6">
      <t>ボクソウ</t>
    </rPh>
    <rPh sb="7" eb="9">
      <t>ホウボク</t>
    </rPh>
    <rPh sb="10" eb="12">
      <t>サイソウ</t>
    </rPh>
    <phoneticPr fontId="2"/>
  </si>
  <si>
    <t>敷料</t>
    <rPh sb="0" eb="1">
      <t>シ</t>
    </rPh>
    <rPh sb="1" eb="2">
      <t>リョウ</t>
    </rPh>
    <phoneticPr fontId="2"/>
  </si>
  <si>
    <t>光熱水料・動力費</t>
    <rPh sb="0" eb="2">
      <t>コウネツ</t>
    </rPh>
    <rPh sb="2" eb="3">
      <t>ミズ</t>
    </rPh>
    <rPh sb="3" eb="4">
      <t>リョウ</t>
    </rPh>
    <rPh sb="5" eb="7">
      <t>ドウリョク</t>
    </rPh>
    <rPh sb="7" eb="8">
      <t>ヒ</t>
    </rPh>
    <phoneticPr fontId="2"/>
  </si>
  <si>
    <t>その他諸材料費</t>
    <rPh sb="2" eb="3">
      <t>タ</t>
    </rPh>
    <rPh sb="3" eb="4">
      <t>ショ</t>
    </rPh>
    <rPh sb="4" eb="6">
      <t>ザイリョウ</t>
    </rPh>
    <rPh sb="6" eb="7">
      <t>ヒ</t>
    </rPh>
    <phoneticPr fontId="2"/>
  </si>
  <si>
    <t>獣医師料・医療費</t>
    <rPh sb="0" eb="3">
      <t>ジュウイシ</t>
    </rPh>
    <rPh sb="3" eb="4">
      <t>リョウ</t>
    </rPh>
    <rPh sb="5" eb="8">
      <t>イリョウヒ</t>
    </rPh>
    <phoneticPr fontId="2"/>
  </si>
  <si>
    <t>賃借料・料金</t>
    <rPh sb="0" eb="2">
      <t>チンシャク</t>
    </rPh>
    <rPh sb="2" eb="3">
      <t>リョウ</t>
    </rPh>
    <rPh sb="4" eb="6">
      <t>リョウキン</t>
    </rPh>
    <phoneticPr fontId="2"/>
  </si>
  <si>
    <t>農業生産資材品目別価格指数、搾乳牛通年１頭当たり流通飼料使用数量</t>
    <rPh sb="0" eb="2">
      <t>ノウギョウ</t>
    </rPh>
    <rPh sb="2" eb="4">
      <t>セイサン</t>
    </rPh>
    <rPh sb="4" eb="6">
      <t>シザイ</t>
    </rPh>
    <rPh sb="6" eb="8">
      <t>ヒンモク</t>
    </rPh>
    <rPh sb="8" eb="9">
      <t>ベツ</t>
    </rPh>
    <rPh sb="9" eb="11">
      <t>カカク</t>
    </rPh>
    <rPh sb="11" eb="13">
      <t>シスウ</t>
    </rPh>
    <rPh sb="14" eb="15">
      <t>サク</t>
    </rPh>
    <rPh sb="15" eb="17">
      <t>ニュウギュウ</t>
    </rPh>
    <rPh sb="17" eb="19">
      <t>ツウネン</t>
    </rPh>
    <rPh sb="20" eb="21">
      <t>トウ</t>
    </rPh>
    <rPh sb="21" eb="22">
      <t>ア</t>
    </rPh>
    <rPh sb="24" eb="26">
      <t>リュウツウ</t>
    </rPh>
    <rPh sb="26" eb="28">
      <t>シリョウ</t>
    </rPh>
    <rPh sb="28" eb="30">
      <t>シヨウ</t>
    </rPh>
    <rPh sb="30" eb="32">
      <t>スウリョウ</t>
    </rPh>
    <phoneticPr fontId="2"/>
  </si>
  <si>
    <t>配合飼料</t>
    <rPh sb="0" eb="2">
      <t>ハイゴウ</t>
    </rPh>
    <rPh sb="2" eb="4">
      <t>シリョウ</t>
    </rPh>
    <phoneticPr fontId="2"/>
  </si>
  <si>
    <t>乾牧草</t>
    <rPh sb="0" eb="1">
      <t>イヌイ</t>
    </rPh>
    <rPh sb="1" eb="3">
      <t>ボクソウ</t>
    </rPh>
    <phoneticPr fontId="2"/>
  </si>
  <si>
    <t>平均</t>
    <rPh sb="0" eb="2">
      <t>ヘイキン</t>
    </rPh>
    <phoneticPr fontId="2"/>
  </si>
  <si>
    <t>肥料総合</t>
    <rPh sb="0" eb="2">
      <t>ヒリョウ</t>
    </rPh>
    <rPh sb="2" eb="4">
      <t>ソウゴウ</t>
    </rPh>
    <phoneticPr fontId="2"/>
  </si>
  <si>
    <t>稲わら</t>
    <rPh sb="0" eb="1">
      <t>イナ</t>
    </rPh>
    <phoneticPr fontId="2"/>
  </si>
  <si>
    <t>光熱動力費</t>
    <rPh sb="0" eb="2">
      <t>コウネツ</t>
    </rPh>
    <rPh sb="2" eb="4">
      <t>ドウリョク</t>
    </rPh>
    <rPh sb="4" eb="5">
      <t>ヒ</t>
    </rPh>
    <phoneticPr fontId="2"/>
  </si>
  <si>
    <t>乳　牛　償　却　費</t>
    <rPh sb="0" eb="1">
      <t>チチ</t>
    </rPh>
    <rPh sb="2" eb="3">
      <t>ウシ</t>
    </rPh>
    <rPh sb="4" eb="5">
      <t>ツグナ</t>
    </rPh>
    <rPh sb="6" eb="7">
      <t>キャク</t>
    </rPh>
    <rPh sb="8" eb="9">
      <t>ヒ</t>
    </rPh>
    <phoneticPr fontId="2"/>
  </si>
  <si>
    <t>aの過去48ヶ月</t>
    <rPh sb="2" eb="4">
      <t>カコ</t>
    </rPh>
    <rPh sb="7" eb="8">
      <t>ゲツ</t>
    </rPh>
    <phoneticPr fontId="2"/>
  </si>
  <si>
    <t>乳用老廃牛</t>
    <rPh sb="0" eb="1">
      <t>ニュウ</t>
    </rPh>
    <rPh sb="1" eb="2">
      <t>ヨウ</t>
    </rPh>
    <rPh sb="2" eb="3">
      <t>ロウ</t>
    </rPh>
    <rPh sb="3" eb="4">
      <t>ハイ</t>
    </rPh>
    <rPh sb="4" eb="5">
      <t>ギュウ</t>
    </rPh>
    <phoneticPr fontId="2"/>
  </si>
  <si>
    <t>乳用牛　　　償却費</t>
    <rPh sb="0" eb="1">
      <t>ニュウ</t>
    </rPh>
    <rPh sb="1" eb="2">
      <t>ヨウ</t>
    </rPh>
    <rPh sb="2" eb="3">
      <t>ギュウ</t>
    </rPh>
    <rPh sb="6" eb="8">
      <t>ショウキャク</t>
    </rPh>
    <rPh sb="8" eb="9">
      <t>ヒ</t>
    </rPh>
    <phoneticPr fontId="2"/>
  </si>
  <si>
    <t>累計平均=A</t>
    <rPh sb="0" eb="2">
      <t>ルイケイ</t>
    </rPh>
    <rPh sb="2" eb="4">
      <t>ヘイキン</t>
    </rPh>
    <phoneticPr fontId="2"/>
  </si>
  <si>
    <t>c:10Kg当価格</t>
    <rPh sb="6" eb="7">
      <t>ア</t>
    </rPh>
    <rPh sb="7" eb="9">
      <t>カカク</t>
    </rPh>
    <phoneticPr fontId="2"/>
  </si>
  <si>
    <t>価格:C=c×60</t>
    <rPh sb="0" eb="2">
      <t>カカク</t>
    </rPh>
    <phoneticPr fontId="2"/>
  </si>
  <si>
    <t>D=[C-0.2×(a:48ヶ月前購入価格)]</t>
    <rPh sb="15" eb="16">
      <t>ゲツ</t>
    </rPh>
    <rPh sb="16" eb="17">
      <t>マエ</t>
    </rPh>
    <rPh sb="17" eb="19">
      <t>コウニュウ</t>
    </rPh>
    <rPh sb="19" eb="21">
      <t>カカク</t>
    </rPh>
    <phoneticPr fontId="2"/>
  </si>
  <si>
    <t>1頭換算e　　　　=D÷48</t>
    <rPh sb="1" eb="2">
      <t>トウ</t>
    </rPh>
    <rPh sb="2" eb="4">
      <t>カンサン</t>
    </rPh>
    <phoneticPr fontId="2"/>
  </si>
  <si>
    <t>乳牛償却費</t>
    <rPh sb="0" eb="1">
      <t>チチ</t>
    </rPh>
    <rPh sb="1" eb="2">
      <t>ウシ</t>
    </rPh>
    <rPh sb="2" eb="3">
      <t>ツグナ</t>
    </rPh>
    <rPh sb="3" eb="4">
      <t>キャク</t>
    </rPh>
    <rPh sb="4" eb="5">
      <t>ヒ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</si>
  <si>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</si>
  <si>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</si>
  <si>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</si>
  <si>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</si>
  <si>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</si>
  <si>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</si>
  <si>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</si>
  <si>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</si>
  <si>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Ｊ</t>
    <phoneticPr fontId="2"/>
  </si>
  <si>
    <t>K</t>
    <phoneticPr fontId="2"/>
  </si>
  <si>
    <t>L</t>
    <phoneticPr fontId="2"/>
  </si>
  <si>
    <t>M</t>
    <phoneticPr fontId="2"/>
  </si>
  <si>
    <t>N</t>
    <phoneticPr fontId="2"/>
  </si>
  <si>
    <t>O</t>
    <phoneticPr fontId="2"/>
  </si>
  <si>
    <t>P</t>
    <phoneticPr fontId="2"/>
  </si>
  <si>
    <t>Q</t>
    <phoneticPr fontId="2"/>
  </si>
  <si>
    <t>R</t>
    <phoneticPr fontId="2"/>
  </si>
  <si>
    <t>■牛乳の製造販売経費 計算用エリア</t>
    <rPh sb="11" eb="14">
      <t>ケイサンヨウ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</si>
  <si>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</si>
  <si>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</si>
  <si>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</si>
  <si>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</si>
  <si>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</si>
  <si>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</si>
  <si>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Ｊ</t>
    <phoneticPr fontId="2"/>
  </si>
  <si>
    <t>K</t>
    <phoneticPr fontId="2"/>
  </si>
  <si>
    <t>L</t>
    <phoneticPr fontId="2"/>
  </si>
  <si>
    <t>M</t>
    <phoneticPr fontId="2"/>
  </si>
  <si>
    <t>N</t>
    <phoneticPr fontId="2"/>
  </si>
  <si>
    <t>O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</si>
  <si>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</si>
  <si>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</si>
  <si>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</si>
  <si>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</si>
  <si>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</si>
  <si>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</si>
  <si>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</si>
  <si>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</si>
  <si>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Ｊ</t>
    <phoneticPr fontId="2"/>
  </si>
  <si>
    <t>K</t>
    <phoneticPr fontId="2"/>
  </si>
  <si>
    <t>L</t>
    <phoneticPr fontId="2"/>
  </si>
  <si>
    <t>M</t>
    <phoneticPr fontId="2"/>
  </si>
  <si>
    <t>N</t>
    <phoneticPr fontId="2"/>
  </si>
  <si>
    <t>O</t>
    <phoneticPr fontId="2"/>
  </si>
  <si>
    <t>P</t>
    <phoneticPr fontId="2"/>
  </si>
  <si>
    <t>Q</t>
    <phoneticPr fontId="2"/>
  </si>
  <si>
    <t>R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</si>
  <si>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</si>
  <si>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</si>
  <si>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</si>
  <si>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</si>
  <si>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</si>
  <si>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</si>
  <si>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</si>
  <si>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</si>
  <si>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Ｊ</t>
    <phoneticPr fontId="2"/>
  </si>
  <si>
    <t>K</t>
    <phoneticPr fontId="2"/>
  </si>
  <si>
    <t>L</t>
    <phoneticPr fontId="2"/>
  </si>
  <si>
    <t>M</t>
    <phoneticPr fontId="2"/>
  </si>
  <si>
    <t>N</t>
    <phoneticPr fontId="2"/>
  </si>
  <si>
    <t>O</t>
    <phoneticPr fontId="2"/>
  </si>
  <si>
    <t>P</t>
    <phoneticPr fontId="2"/>
  </si>
  <si>
    <t>Q</t>
    <phoneticPr fontId="2"/>
  </si>
  <si>
    <t>R</t>
    <phoneticPr fontId="2"/>
  </si>
  <si>
    <t>■牛乳の生産費 計算用エリア</t>
    <rPh sb="4" eb="6">
      <t>セイサン</t>
    </rPh>
    <rPh sb="8" eb="11">
      <t>ケイサンヨウ</t>
    </rPh>
    <phoneticPr fontId="2"/>
  </si>
  <si>
    <t>2002/4～2003/3</t>
    <phoneticPr fontId="2"/>
  </si>
  <si>
    <t>配合飼料の価格差補填金の交付状況等</t>
    <rPh sb="0" eb="2">
      <t>ハイゴウ</t>
    </rPh>
    <rPh sb="2" eb="4">
      <t>シリョウ</t>
    </rPh>
    <rPh sb="5" eb="7">
      <t>カカク</t>
    </rPh>
    <rPh sb="7" eb="8">
      <t>サ</t>
    </rPh>
    <rPh sb="8" eb="10">
      <t>ホテン</t>
    </rPh>
    <rPh sb="10" eb="11">
      <t>キン</t>
    </rPh>
    <rPh sb="12" eb="14">
      <t>コウフ</t>
    </rPh>
    <rPh sb="14" eb="16">
      <t>ジョウキョウ</t>
    </rPh>
    <rPh sb="16" eb="17">
      <t>トウ</t>
    </rPh>
    <phoneticPr fontId="2"/>
  </si>
  <si>
    <t>（単位：円／トン）</t>
    <rPh sb="1" eb="3">
      <t>タンイ</t>
    </rPh>
    <rPh sb="4" eb="5">
      <t>エン</t>
    </rPh>
    <phoneticPr fontId="2"/>
  </si>
  <si>
    <t>積立金</t>
    <rPh sb="0" eb="2">
      <t>ツミタテ</t>
    </rPh>
    <rPh sb="2" eb="3">
      <t>キン</t>
    </rPh>
    <phoneticPr fontId="2"/>
  </si>
  <si>
    <t>補填金</t>
    <rPh sb="0" eb="2">
      <t>ホテン</t>
    </rPh>
    <rPh sb="2" eb="3">
      <t>キン</t>
    </rPh>
    <phoneticPr fontId="2"/>
  </si>
  <si>
    <t>補填金・積立金差額</t>
    <rPh sb="4" eb="6">
      <t>ツミタテ</t>
    </rPh>
    <rPh sb="6" eb="7">
      <t>キン</t>
    </rPh>
    <rPh sb="7" eb="9">
      <t>サガク</t>
    </rPh>
    <phoneticPr fontId="2"/>
  </si>
  <si>
    <t>基金別シェア</t>
    <rPh sb="0" eb="2">
      <t>キキン</t>
    </rPh>
    <rPh sb="2" eb="3">
      <t>ベツ</t>
    </rPh>
    <phoneticPr fontId="2"/>
  </si>
  <si>
    <t>差引単純平均単価</t>
    <rPh sb="0" eb="2">
      <t>サシヒキ</t>
    </rPh>
    <rPh sb="2" eb="4">
      <t>タンジュン</t>
    </rPh>
    <rPh sb="4" eb="6">
      <t>ヘイキン</t>
    </rPh>
    <rPh sb="6" eb="8">
      <t>タンカ</t>
    </rPh>
    <phoneticPr fontId="2"/>
  </si>
  <si>
    <t>基準年正味積立金・補填金差引金額</t>
    <rPh sb="0" eb="2">
      <t>キジュン</t>
    </rPh>
    <rPh sb="2" eb="3">
      <t>ドシ</t>
    </rPh>
    <rPh sb="3" eb="5">
      <t>ショウミ</t>
    </rPh>
    <rPh sb="5" eb="7">
      <t>ツミタテ</t>
    </rPh>
    <rPh sb="7" eb="8">
      <t>キン</t>
    </rPh>
    <rPh sb="9" eb="11">
      <t>ホテン</t>
    </rPh>
    <rPh sb="11" eb="12">
      <t>キン</t>
    </rPh>
    <rPh sb="12" eb="14">
      <t>サシヒキ</t>
    </rPh>
    <rPh sb="14" eb="16">
      <t>キンガク</t>
    </rPh>
    <phoneticPr fontId="2"/>
  </si>
  <si>
    <t>補填金・積立金補正額</t>
    <rPh sb="0" eb="2">
      <t>ホテン</t>
    </rPh>
    <rPh sb="2" eb="3">
      <t>キン</t>
    </rPh>
    <rPh sb="4" eb="6">
      <t>ツミタテ</t>
    </rPh>
    <rPh sb="6" eb="7">
      <t>キン</t>
    </rPh>
    <rPh sb="7" eb="9">
      <t>ホセイ</t>
    </rPh>
    <rPh sb="9" eb="10">
      <t>ガク</t>
    </rPh>
    <phoneticPr fontId="2"/>
  </si>
  <si>
    <t>全国配合飼料供給安定基金</t>
    <rPh sb="0" eb="2">
      <t>ゼンコク</t>
    </rPh>
    <rPh sb="2" eb="4">
      <t>ハイゴウ</t>
    </rPh>
    <rPh sb="4" eb="6">
      <t>シリョウ</t>
    </rPh>
    <rPh sb="6" eb="8">
      <t>キョウキュウ</t>
    </rPh>
    <rPh sb="8" eb="10">
      <t>アンテイ</t>
    </rPh>
    <rPh sb="10" eb="12">
      <t>キキン</t>
    </rPh>
    <phoneticPr fontId="2"/>
  </si>
  <si>
    <t>全国畜産配合飼料価格安定基金</t>
    <rPh sb="0" eb="2">
      <t>ゼンコク</t>
    </rPh>
    <rPh sb="2" eb="4">
      <t>チクサン</t>
    </rPh>
    <rPh sb="4" eb="6">
      <t>ハイゴウ</t>
    </rPh>
    <rPh sb="6" eb="8">
      <t>シリョウ</t>
    </rPh>
    <rPh sb="8" eb="10">
      <t>カカク</t>
    </rPh>
    <rPh sb="10" eb="12">
      <t>アンテイ</t>
    </rPh>
    <rPh sb="12" eb="14">
      <t>キキン</t>
    </rPh>
    <phoneticPr fontId="2"/>
  </si>
  <si>
    <t>全日本配合飼料価格安定基金</t>
    <rPh sb="0" eb="3">
      <t>ゼンニッポン</t>
    </rPh>
    <rPh sb="3" eb="5">
      <t>ハイゴウ</t>
    </rPh>
    <rPh sb="5" eb="7">
      <t>シリョウ</t>
    </rPh>
    <rPh sb="7" eb="9">
      <t>カカク</t>
    </rPh>
    <rPh sb="9" eb="11">
      <t>アンテイ</t>
    </rPh>
    <rPh sb="11" eb="13">
      <t>キキン</t>
    </rPh>
    <phoneticPr fontId="2"/>
  </si>
  <si>
    <t>異常補填</t>
    <rPh sb="0" eb="2">
      <t>イジョウ</t>
    </rPh>
    <rPh sb="2" eb="4">
      <t>ホテン</t>
    </rPh>
    <phoneticPr fontId="2"/>
  </si>
  <si>
    <t>通常補填</t>
    <rPh sb="0" eb="1">
      <t>ツウ</t>
    </rPh>
    <rPh sb="1" eb="2">
      <t>ジョウ</t>
    </rPh>
    <rPh sb="2" eb="4">
      <t>ホテン</t>
    </rPh>
    <phoneticPr fontId="2"/>
  </si>
  <si>
    <t>補填金小計</t>
    <rPh sb="0" eb="2">
      <t>ホテン</t>
    </rPh>
    <rPh sb="2" eb="3">
      <t>キン</t>
    </rPh>
    <rPh sb="3" eb="5">
      <t>ショウケイ</t>
    </rPh>
    <phoneticPr fontId="2"/>
  </si>
  <si>
    <t>差引</t>
    <rPh sb="0" eb="2">
      <t>サシヒキ</t>
    </rPh>
    <phoneticPr fontId="2"/>
  </si>
  <si>
    <t>2004/12=100とした時の指数</t>
    <rPh sb="14" eb="15">
      <t>トキ</t>
    </rPh>
    <rPh sb="16" eb="18">
      <t>シスウ</t>
    </rPh>
    <phoneticPr fontId="2"/>
  </si>
  <si>
    <t>ウェイト</t>
    <phoneticPr fontId="2"/>
  </si>
  <si>
    <t>活用指標</t>
    <phoneticPr fontId="2"/>
  </si>
  <si>
    <t>獣医師料・
医療費</t>
    <rPh sb="0" eb="3">
      <t>ジュウイシ</t>
    </rPh>
    <rPh sb="3" eb="4">
      <t>リョウ</t>
    </rPh>
    <rPh sb="6" eb="9">
      <t>イリョウヒ</t>
    </rPh>
    <phoneticPr fontId="2"/>
  </si>
  <si>
    <t>消費者
物価指数</t>
    <rPh sb="0" eb="3">
      <t>ショウヒシャ</t>
    </rPh>
    <rPh sb="4" eb="6">
      <t>ブッカ</t>
    </rPh>
    <rPh sb="6" eb="8">
      <t>シスウ</t>
    </rPh>
    <phoneticPr fontId="2"/>
  </si>
  <si>
    <t>補正係数</t>
    <rPh sb="0" eb="2">
      <t>ホセイ</t>
    </rPh>
    <rPh sb="2" eb="4">
      <t>ケイスウ</t>
    </rPh>
    <phoneticPr fontId="2"/>
  </si>
  <si>
    <t>補正後の指数</t>
    <rPh sb="0" eb="2">
      <t>ホセイ</t>
    </rPh>
    <rPh sb="2" eb="3">
      <t>ゴ</t>
    </rPh>
    <rPh sb="4" eb="6">
      <t>シスウ</t>
    </rPh>
    <phoneticPr fontId="2"/>
  </si>
  <si>
    <t>単純平均</t>
    <rPh sb="0" eb="2">
      <t>タンジュン</t>
    </rPh>
    <rPh sb="2" eb="4">
      <t>ヘイキン</t>
    </rPh>
    <phoneticPr fontId="2"/>
  </si>
  <si>
    <t>1999/1</t>
    <phoneticPr fontId="19"/>
  </si>
  <si>
    <t>2</t>
    <phoneticPr fontId="19"/>
  </si>
  <si>
    <t>3</t>
    <phoneticPr fontId="19"/>
  </si>
  <si>
    <t>4</t>
    <phoneticPr fontId="19"/>
  </si>
  <si>
    <t>5</t>
    <phoneticPr fontId="19"/>
  </si>
  <si>
    <t>6</t>
    <phoneticPr fontId="19"/>
  </si>
  <si>
    <t>7</t>
    <phoneticPr fontId="19"/>
  </si>
  <si>
    <t>8</t>
    <phoneticPr fontId="19"/>
  </si>
  <si>
    <t>9</t>
    <phoneticPr fontId="19"/>
  </si>
  <si>
    <t>10</t>
    <phoneticPr fontId="19"/>
  </si>
  <si>
    <t>11</t>
    <phoneticPr fontId="19"/>
  </si>
  <si>
    <t>12</t>
    <phoneticPr fontId="19"/>
  </si>
  <si>
    <t>2000/1</t>
    <phoneticPr fontId="19"/>
  </si>
  <si>
    <t>12/1</t>
    <phoneticPr fontId="19"/>
  </si>
  <si>
    <t>5</t>
  </si>
  <si>
    <t>6</t>
  </si>
  <si>
    <t>7</t>
  </si>
  <si>
    <t>8</t>
  </si>
  <si>
    <t>9</t>
  </si>
  <si>
    <t>10</t>
  </si>
  <si>
    <t>11</t>
  </si>
  <si>
    <t>12</t>
  </si>
  <si>
    <t>3</t>
  </si>
  <si>
    <t>4</t>
  </si>
  <si>
    <t>年・月</t>
    <rPh sb="0" eb="1">
      <t>ネン</t>
    </rPh>
    <rPh sb="2" eb="3">
      <t>ツキ</t>
    </rPh>
    <phoneticPr fontId="2"/>
  </si>
  <si>
    <t>（単位：円／ｔ）</t>
    <rPh sb="1" eb="3">
      <t>タンイ</t>
    </rPh>
    <phoneticPr fontId="2"/>
  </si>
  <si>
    <t>配合飼料価格</t>
    <rPh sb="0" eb="2">
      <t>ハイゴウ</t>
    </rPh>
    <rPh sb="2" eb="4">
      <t>シリョウ</t>
    </rPh>
    <rPh sb="4" eb="6">
      <t>カカク</t>
    </rPh>
    <phoneticPr fontId="2"/>
  </si>
  <si>
    <t>農家実価格</t>
    <rPh sb="0" eb="2">
      <t>ノウカ</t>
    </rPh>
    <rPh sb="2" eb="3">
      <t>ジツ</t>
    </rPh>
    <rPh sb="3" eb="5">
      <t>カカク</t>
    </rPh>
    <phoneticPr fontId="2"/>
  </si>
  <si>
    <t>農業生産
資材総合</t>
    <rPh sb="0" eb="2">
      <t>ノウギョウ</t>
    </rPh>
    <rPh sb="2" eb="4">
      <t>セイサン</t>
    </rPh>
    <rPh sb="5" eb="7">
      <t>シザイ</t>
    </rPh>
    <rPh sb="7" eb="9">
      <t>ソウゴウ</t>
    </rPh>
    <phoneticPr fontId="2"/>
  </si>
  <si>
    <t>現金給与
総額（円）</t>
    <rPh sb="8" eb="9">
      <t>エン</t>
    </rPh>
    <phoneticPr fontId="2"/>
  </si>
  <si>
    <t>過去12ヶ月の
平均値(円）</t>
    <rPh sb="8" eb="10">
      <t>ヘイキン</t>
    </rPh>
    <rPh sb="10" eb="11">
      <t>チ</t>
    </rPh>
    <phoneticPr fontId="2"/>
  </si>
  <si>
    <t>乳子牛
（めす）</t>
    <rPh sb="0" eb="1">
      <t>チチ</t>
    </rPh>
    <rPh sb="1" eb="3">
      <t>コウシ</t>
    </rPh>
    <phoneticPr fontId="2"/>
  </si>
  <si>
    <t>乳子牛
（おす）</t>
    <rPh sb="0" eb="1">
      <t>チチ</t>
    </rPh>
    <rPh sb="1" eb="3">
      <t>コウシ</t>
    </rPh>
    <phoneticPr fontId="2"/>
  </si>
  <si>
    <t>家族
労働費</t>
    <rPh sb="0" eb="2">
      <t>カゾク</t>
    </rPh>
    <rPh sb="3" eb="6">
      <t>ロウドウヒ</t>
    </rPh>
    <phoneticPr fontId="2"/>
  </si>
  <si>
    <t>指数
(04.12=100)</t>
    <rPh sb="0" eb="2">
      <t>シスウ</t>
    </rPh>
    <phoneticPr fontId="2"/>
  </si>
  <si>
    <t>1999/1</t>
    <phoneticPr fontId="19"/>
  </si>
  <si>
    <t>2</t>
    <phoneticPr fontId="19"/>
  </si>
  <si>
    <t>3</t>
    <phoneticPr fontId="19"/>
  </si>
  <si>
    <t>4</t>
    <phoneticPr fontId="19"/>
  </si>
  <si>
    <t>5</t>
    <phoneticPr fontId="19"/>
  </si>
  <si>
    <t>6</t>
    <phoneticPr fontId="19"/>
  </si>
  <si>
    <t>7</t>
    <phoneticPr fontId="19"/>
  </si>
  <si>
    <t>8</t>
    <phoneticPr fontId="19"/>
  </si>
  <si>
    <t>9</t>
    <phoneticPr fontId="19"/>
  </si>
  <si>
    <t>10</t>
    <phoneticPr fontId="19"/>
  </si>
  <si>
    <t>11</t>
    <phoneticPr fontId="19"/>
  </si>
  <si>
    <t>12</t>
    <phoneticPr fontId="19"/>
  </si>
  <si>
    <t>前年比</t>
    <rPh sb="0" eb="3">
      <t>ゼンネンヒ</t>
    </rPh>
    <phoneticPr fontId="2"/>
  </si>
  <si>
    <t>年・月</t>
    <rPh sb="0" eb="1">
      <t>トシ</t>
    </rPh>
    <rPh sb="2" eb="3">
      <t>ツキ</t>
    </rPh>
    <phoneticPr fontId="2"/>
  </si>
  <si>
    <t>毎月一定率で
推移するもの
と想定したので、変化率は
算定しない。</t>
    <phoneticPr fontId="2"/>
  </si>
  <si>
    <t>13/1</t>
    <phoneticPr fontId="19"/>
  </si>
  <si>
    <t>2001/1</t>
    <phoneticPr fontId="19"/>
  </si>
  <si>
    <t>2</t>
    <phoneticPr fontId="19"/>
  </si>
  <si>
    <t>3</t>
    <phoneticPr fontId="19"/>
  </si>
  <si>
    <t>4</t>
    <phoneticPr fontId="19"/>
  </si>
  <si>
    <t>5</t>
    <phoneticPr fontId="19"/>
  </si>
  <si>
    <t>6</t>
    <phoneticPr fontId="19"/>
  </si>
  <si>
    <t>7</t>
    <phoneticPr fontId="19"/>
  </si>
  <si>
    <t>8</t>
    <phoneticPr fontId="19"/>
  </si>
  <si>
    <t>8</t>
    <phoneticPr fontId="19"/>
  </si>
  <si>
    <t>9</t>
    <phoneticPr fontId="19"/>
  </si>
  <si>
    <t>10</t>
    <phoneticPr fontId="19"/>
  </si>
  <si>
    <t>11</t>
    <phoneticPr fontId="19"/>
  </si>
  <si>
    <t>12</t>
    <phoneticPr fontId="19"/>
  </si>
  <si>
    <t>2002/1</t>
    <phoneticPr fontId="19"/>
  </si>
  <si>
    <t>14/1</t>
    <phoneticPr fontId="19"/>
  </si>
  <si>
    <t>2003/1</t>
    <phoneticPr fontId="19"/>
  </si>
  <si>
    <t>15/1</t>
    <phoneticPr fontId="19"/>
  </si>
  <si>
    <t>2004/1</t>
    <phoneticPr fontId="19"/>
  </si>
  <si>
    <t>16/1</t>
    <phoneticPr fontId="19"/>
  </si>
  <si>
    <t>2005/1</t>
    <phoneticPr fontId="19"/>
  </si>
  <si>
    <t>17/1</t>
    <phoneticPr fontId="19"/>
  </si>
  <si>
    <t>2</t>
    <phoneticPr fontId="19"/>
  </si>
  <si>
    <t>3</t>
    <phoneticPr fontId="19"/>
  </si>
  <si>
    <t>5</t>
    <phoneticPr fontId="19"/>
  </si>
  <si>
    <t>6</t>
    <phoneticPr fontId="19"/>
  </si>
  <si>
    <t>7</t>
    <phoneticPr fontId="19"/>
  </si>
  <si>
    <t>8</t>
    <phoneticPr fontId="19"/>
  </si>
  <si>
    <t>9</t>
    <phoneticPr fontId="19"/>
  </si>
  <si>
    <t>10</t>
    <phoneticPr fontId="19"/>
  </si>
  <si>
    <t>11</t>
    <phoneticPr fontId="19"/>
  </si>
  <si>
    <t>12</t>
    <phoneticPr fontId="19"/>
  </si>
  <si>
    <t>18/1</t>
    <phoneticPr fontId="19"/>
  </si>
  <si>
    <t>2007/1</t>
    <phoneticPr fontId="19"/>
  </si>
  <si>
    <t>19/1</t>
    <phoneticPr fontId="19"/>
  </si>
  <si>
    <t>2008/1</t>
    <phoneticPr fontId="19"/>
  </si>
  <si>
    <t>20/1</t>
    <phoneticPr fontId="19"/>
  </si>
  <si>
    <t>2009/1</t>
    <phoneticPr fontId="19"/>
  </si>
  <si>
    <t>21/1</t>
    <phoneticPr fontId="19"/>
  </si>
  <si>
    <t>11</t>
    <phoneticPr fontId="19"/>
  </si>
  <si>
    <t>2010/1</t>
    <phoneticPr fontId="19"/>
  </si>
  <si>
    <t>7</t>
    <phoneticPr fontId="19"/>
  </si>
  <si>
    <t>2011/1</t>
    <phoneticPr fontId="19"/>
  </si>
  <si>
    <t>23/1</t>
    <phoneticPr fontId="19"/>
  </si>
  <si>
    <t>2012/1</t>
    <phoneticPr fontId="19"/>
  </si>
  <si>
    <t>24/1</t>
    <phoneticPr fontId="19"/>
  </si>
  <si>
    <t>3</t>
    <phoneticPr fontId="19"/>
  </si>
  <si>
    <t>24/1</t>
    <phoneticPr fontId="19"/>
  </si>
  <si>
    <t>6</t>
    <phoneticPr fontId="19"/>
  </si>
  <si>
    <t>2013/1</t>
    <phoneticPr fontId="19"/>
  </si>
  <si>
    <t>25/1</t>
    <phoneticPr fontId="19"/>
  </si>
  <si>
    <t>10</t>
    <phoneticPr fontId="19"/>
  </si>
  <si>
    <t>2014/1</t>
    <phoneticPr fontId="19"/>
  </si>
  <si>
    <t>26/1</t>
    <phoneticPr fontId="19"/>
  </si>
  <si>
    <t>4</t>
    <phoneticPr fontId="19"/>
  </si>
  <si>
    <t>17/1</t>
    <phoneticPr fontId="19"/>
  </si>
  <si>
    <t>9</t>
    <phoneticPr fontId="19"/>
  </si>
  <si>
    <t>12</t>
    <phoneticPr fontId="19"/>
  </si>
  <si>
    <t>2006/1</t>
    <phoneticPr fontId="19"/>
  </si>
  <si>
    <t>2</t>
    <phoneticPr fontId="19"/>
  </si>
  <si>
    <t>19/1</t>
    <phoneticPr fontId="19"/>
  </si>
  <si>
    <t>20/1</t>
    <phoneticPr fontId="19"/>
  </si>
  <si>
    <t>2000/1</t>
    <phoneticPr fontId="19"/>
  </si>
  <si>
    <t>12/1</t>
    <phoneticPr fontId="19"/>
  </si>
  <si>
    <t>2007/1</t>
    <phoneticPr fontId="19"/>
  </si>
  <si>
    <t>2008/1</t>
    <phoneticPr fontId="19"/>
  </si>
  <si>
    <t>農業生産資材品目別価格指数、10ａ当り使用金額</t>
    <rPh sb="0" eb="2">
      <t>ノウギョウ</t>
    </rPh>
    <rPh sb="2" eb="4">
      <t>セイサン</t>
    </rPh>
    <rPh sb="4" eb="6">
      <t>シザイ</t>
    </rPh>
    <rPh sb="6" eb="8">
      <t>ヒンモク</t>
    </rPh>
    <rPh sb="8" eb="9">
      <t>ベツ</t>
    </rPh>
    <rPh sb="9" eb="11">
      <t>カカク</t>
    </rPh>
    <rPh sb="11" eb="13">
      <t>シスウ</t>
    </rPh>
    <rPh sb="17" eb="18">
      <t>アタ</t>
    </rPh>
    <rPh sb="19" eb="21">
      <t>シヨウ</t>
    </rPh>
    <rPh sb="21" eb="23">
      <t>キンガク</t>
    </rPh>
    <phoneticPr fontId="2"/>
  </si>
  <si>
    <t>その他
諸材料費</t>
    <rPh sb="2" eb="3">
      <t>タ</t>
    </rPh>
    <rPh sb="4" eb="5">
      <t>ショ</t>
    </rPh>
    <rPh sb="5" eb="7">
      <t>ザイリョウ</t>
    </rPh>
    <rPh sb="7" eb="8">
      <t>ヒ</t>
    </rPh>
    <phoneticPr fontId="2"/>
  </si>
  <si>
    <t>肉用
(乳廃牛)</t>
    <rPh sb="0" eb="2">
      <t>ニクヨウ</t>
    </rPh>
    <rPh sb="4" eb="5">
      <t>ニュウ</t>
    </rPh>
    <rPh sb="5" eb="6">
      <t>ハイ</t>
    </rPh>
    <rPh sb="6" eb="7">
      <t>ウシ</t>
    </rPh>
    <phoneticPr fontId="2"/>
  </si>
  <si>
    <t>現金給与
総額
(円/時間）</t>
    <rPh sb="11" eb="13">
      <t>ジカン</t>
    </rPh>
    <phoneticPr fontId="2"/>
  </si>
  <si>
    <t>平成 17/1</t>
    <rPh sb="0" eb="2">
      <t>ヘイセイ</t>
    </rPh>
    <phoneticPr fontId="2"/>
  </si>
  <si>
    <t>平成 11/1</t>
    <rPh sb="0" eb="2">
      <t>ヘイセイ</t>
    </rPh>
    <phoneticPr fontId="19"/>
  </si>
  <si>
    <t>E</t>
    <phoneticPr fontId="2"/>
  </si>
  <si>
    <t>I</t>
    <phoneticPr fontId="2"/>
  </si>
  <si>
    <t>光熱水料
・動力費</t>
    <rPh sb="0" eb="2">
      <t>コウネツ</t>
    </rPh>
    <rPh sb="2" eb="3">
      <t>ミズ</t>
    </rPh>
    <rPh sb="3" eb="4">
      <t>リョウ</t>
    </rPh>
    <rPh sb="6" eb="8">
      <t>ドウリョク</t>
    </rPh>
    <rPh sb="8" eb="9">
      <t>ヒ</t>
    </rPh>
    <phoneticPr fontId="2"/>
  </si>
  <si>
    <t>賃借料・
料金</t>
    <rPh sb="0" eb="2">
      <t>チンシャク</t>
    </rPh>
    <rPh sb="2" eb="3">
      <t>リョウ</t>
    </rPh>
    <rPh sb="5" eb="7">
      <t>リョウキン</t>
    </rPh>
    <phoneticPr fontId="2"/>
  </si>
  <si>
    <t>物件税・
公課諸負担</t>
    <rPh sb="0" eb="2">
      <t>ブッケン</t>
    </rPh>
    <rPh sb="2" eb="3">
      <t>ゼイ</t>
    </rPh>
    <rPh sb="5" eb="7">
      <t>コウカ</t>
    </rPh>
    <rPh sb="7" eb="8">
      <t>ショ</t>
    </rPh>
    <rPh sb="8" eb="10">
      <t>フタン</t>
    </rPh>
    <phoneticPr fontId="2"/>
  </si>
  <si>
    <t>農業生産
資材品目別
価格指数</t>
    <rPh sb="0" eb="2">
      <t>ノウギョウ</t>
    </rPh>
    <rPh sb="2" eb="4">
      <t>セイサン</t>
    </rPh>
    <rPh sb="5" eb="6">
      <t>シ</t>
    </rPh>
    <rPh sb="6" eb="7">
      <t>ザイ</t>
    </rPh>
    <rPh sb="7" eb="9">
      <t>ヒンモク</t>
    </rPh>
    <rPh sb="9" eb="10">
      <t>ベツ</t>
    </rPh>
    <rPh sb="11" eb="13">
      <t>カカク</t>
    </rPh>
    <rPh sb="13" eb="15">
      <t>シスウ</t>
    </rPh>
    <phoneticPr fontId="2"/>
  </si>
  <si>
    <t>医薬品・
健康保持用
摂取品</t>
    <rPh sb="0" eb="3">
      <t>イヤクヒン</t>
    </rPh>
    <rPh sb="5" eb="7">
      <t>ケンコウ</t>
    </rPh>
    <rPh sb="7" eb="10">
      <t>ホジヨウ</t>
    </rPh>
    <rPh sb="11" eb="13">
      <t>セッシュ</t>
    </rPh>
    <rPh sb="13" eb="14">
      <t>ヒン</t>
    </rPh>
    <phoneticPr fontId="2"/>
  </si>
  <si>
    <t>圧ぺん
大麦</t>
    <rPh sb="0" eb="1">
      <t>アツ</t>
    </rPh>
    <rPh sb="4" eb="6">
      <t>オオムギ</t>
    </rPh>
    <phoneticPr fontId="2"/>
  </si>
  <si>
    <t>とうもろこし</t>
    <phoneticPr fontId="2"/>
  </si>
  <si>
    <t>ビートパルプ</t>
    <phoneticPr fontId="2"/>
  </si>
  <si>
    <t>ヘイキューブ</t>
    <phoneticPr fontId="2"/>
  </si>
  <si>
    <t>農機具
総合</t>
    <rPh sb="0" eb="3">
      <t>ノウキグ</t>
    </rPh>
    <rPh sb="4" eb="6">
      <t>ソウゴウ</t>
    </rPh>
    <phoneticPr fontId="2"/>
  </si>
  <si>
    <t>諸資材</t>
    <rPh sb="0" eb="1">
      <t>ショ</t>
    </rPh>
    <rPh sb="1" eb="3">
      <t>シザイ</t>
    </rPh>
    <phoneticPr fontId="2"/>
  </si>
  <si>
    <t>農業生産資材品目別
価格指数</t>
    <phoneticPr fontId="2"/>
  </si>
  <si>
    <t>価格のみ調査品目の全国平均価格
（農業物価指数）</t>
    <phoneticPr fontId="2"/>
  </si>
  <si>
    <t>購入価格(円)</t>
    <phoneticPr fontId="2"/>
  </si>
  <si>
    <t>平均
償却額</t>
    <rPh sb="0" eb="2">
      <t>ヘイキン</t>
    </rPh>
    <rPh sb="3" eb="5">
      <t>ショウキャク</t>
    </rPh>
    <rPh sb="5" eb="6">
      <t>ガク</t>
    </rPh>
    <phoneticPr fontId="2"/>
  </si>
  <si>
    <t>乳廃牛
処分損益</t>
    <rPh sb="0" eb="1">
      <t>ニュウ</t>
    </rPh>
    <rPh sb="1" eb="2">
      <t>ハイ</t>
    </rPh>
    <rPh sb="2" eb="3">
      <t>ギュウ</t>
    </rPh>
    <rPh sb="4" eb="6">
      <t>ショブン</t>
    </rPh>
    <rPh sb="6" eb="8">
      <t>ソンエキ</t>
    </rPh>
    <phoneticPr fontId="2"/>
  </si>
  <si>
    <t>ａ：乳用牛成牛</t>
    <phoneticPr fontId="2"/>
  </si>
  <si>
    <t>B=A×0.2</t>
    <phoneticPr fontId="2"/>
  </si>
  <si>
    <t>(B-e)</t>
    <phoneticPr fontId="2"/>
  </si>
  <si>
    <t>データ元：農林水産省「農業物価指数」</t>
    <rPh sb="5" eb="7">
      <t>ノウリン</t>
    </rPh>
    <rPh sb="7" eb="10">
      <t>スイサンショウ</t>
    </rPh>
    <rPh sb="11" eb="13">
      <t>ノウギョウ</t>
    </rPh>
    <rPh sb="13" eb="15">
      <t>ブッカ</t>
    </rPh>
    <rPh sb="15" eb="17">
      <t>シスウ</t>
    </rPh>
    <phoneticPr fontId="2"/>
  </si>
  <si>
    <t>「農村物価指数」の１日当たり
農業臨時雇用賃金、
「平成１４年牛乳生産費」の
男女別労働時間</t>
    <rPh sb="1" eb="3">
      <t>ノウソン</t>
    </rPh>
    <rPh sb="3" eb="5">
      <t>ブッカ</t>
    </rPh>
    <rPh sb="5" eb="7">
      <t>シスウ</t>
    </rPh>
    <rPh sb="10" eb="11">
      <t>ヒ</t>
    </rPh>
    <rPh sb="11" eb="12">
      <t>ア</t>
    </rPh>
    <rPh sb="15" eb="17">
      <t>ノウギョウ</t>
    </rPh>
    <rPh sb="17" eb="19">
      <t>リンジ</t>
    </rPh>
    <rPh sb="19" eb="21">
      <t>コヨウ</t>
    </rPh>
    <rPh sb="21" eb="23">
      <t>チンギン</t>
    </rPh>
    <rPh sb="26" eb="28">
      <t>ヘイセイ</t>
    </rPh>
    <rPh sb="30" eb="31">
      <t>ネン</t>
    </rPh>
    <rPh sb="31" eb="33">
      <t>ギュウニュウ</t>
    </rPh>
    <rPh sb="33" eb="35">
      <t>セイサン</t>
    </rPh>
    <rPh sb="35" eb="36">
      <t>ヒ</t>
    </rPh>
    <rPh sb="39" eb="41">
      <t>ダンジョ</t>
    </rPh>
    <rPh sb="41" eb="42">
      <t>ベツ</t>
    </rPh>
    <rPh sb="42" eb="44">
      <t>ロウドウ</t>
    </rPh>
    <rPh sb="44" eb="46">
      <t>ジカン</t>
    </rPh>
    <phoneticPr fontId="2"/>
  </si>
  <si>
    <t>農業生産資材品目別価格指数</t>
    <phoneticPr fontId="2"/>
  </si>
  <si>
    <t>建築
資材</t>
    <rPh sb="0" eb="2">
      <t>ケンチク</t>
    </rPh>
    <rPh sb="3" eb="5">
      <t>シザイ</t>
    </rPh>
    <phoneticPr fontId="2"/>
  </si>
  <si>
    <t>総労働
時間
(時間）</t>
    <phoneticPr fontId="2"/>
  </si>
  <si>
    <t>敷料費</t>
    <phoneticPr fontId="2"/>
  </si>
  <si>
    <t>末端
利率
（%）</t>
    <rPh sb="0" eb="2">
      <t>マッタン</t>
    </rPh>
    <rPh sb="3" eb="5">
      <t>リリツ</t>
    </rPh>
    <phoneticPr fontId="2"/>
  </si>
  <si>
    <t>注：1　労働費（家族労働費）「現金給与総額」、「過去１２か月の平均値」、「指数」、雇用労働費、副産物費（子牛）「平均価格」、「指数」、農業近代化利子「末端利率」、「指数」はJミルクによる算出。</t>
    <rPh sb="4" eb="7">
      <t>ロウドウヒ</t>
    </rPh>
    <rPh sb="8" eb="10">
      <t>カゾク</t>
    </rPh>
    <rPh sb="10" eb="12">
      <t>ロウドウ</t>
    </rPh>
    <rPh sb="12" eb="13">
      <t>ヒ</t>
    </rPh>
    <rPh sb="15" eb="17">
      <t>ゲンキン</t>
    </rPh>
    <rPh sb="17" eb="19">
      <t>キュウヨ</t>
    </rPh>
    <rPh sb="19" eb="21">
      <t>ソウガク</t>
    </rPh>
    <rPh sb="24" eb="26">
      <t>カコ</t>
    </rPh>
    <rPh sb="29" eb="30">
      <t>ゲツ</t>
    </rPh>
    <rPh sb="31" eb="34">
      <t>ヘイキンチ</t>
    </rPh>
    <rPh sb="37" eb="39">
      <t>シスウ</t>
    </rPh>
    <rPh sb="41" eb="43">
      <t>コヨウ</t>
    </rPh>
    <rPh sb="43" eb="45">
      <t>ロウドウ</t>
    </rPh>
    <rPh sb="45" eb="46">
      <t>ヒ</t>
    </rPh>
    <rPh sb="47" eb="50">
      <t>フクサンブツ</t>
    </rPh>
    <rPh sb="50" eb="51">
      <t>ヒ</t>
    </rPh>
    <rPh sb="52" eb="54">
      <t>コウシ</t>
    </rPh>
    <rPh sb="56" eb="58">
      <t>ヘイキン</t>
    </rPh>
    <rPh sb="58" eb="60">
      <t>カカク</t>
    </rPh>
    <rPh sb="63" eb="65">
      <t>シスウ</t>
    </rPh>
    <rPh sb="67" eb="69">
      <t>ノウギョウ</t>
    </rPh>
    <rPh sb="69" eb="72">
      <t>キンダイカ</t>
    </rPh>
    <rPh sb="72" eb="74">
      <t>リシ</t>
    </rPh>
    <rPh sb="75" eb="77">
      <t>マッタン</t>
    </rPh>
    <rPh sb="77" eb="79">
      <t>リリツ</t>
    </rPh>
    <rPh sb="82" eb="84">
      <t>シスウ</t>
    </rPh>
    <rPh sb="93" eb="95">
      <t>サンシュツ</t>
    </rPh>
    <phoneticPr fontId="2"/>
  </si>
  <si>
    <t>補正
前指数</t>
    <rPh sb="0" eb="2">
      <t>ホセイ</t>
    </rPh>
    <rPh sb="3" eb="4">
      <t>マエ</t>
    </rPh>
    <rPh sb="4" eb="6">
      <t>シスウ</t>
    </rPh>
    <phoneticPr fontId="2"/>
  </si>
  <si>
    <t>補填金・
積立金補正額
（円／ｔ）</t>
    <rPh sb="0" eb="2">
      <t>ホテン</t>
    </rPh>
    <rPh sb="2" eb="3">
      <t>キン</t>
    </rPh>
    <rPh sb="5" eb="7">
      <t>ツミタテ</t>
    </rPh>
    <rPh sb="7" eb="8">
      <t>キン</t>
    </rPh>
    <rPh sb="8" eb="10">
      <t>ホセイ</t>
    </rPh>
    <rPh sb="10" eb="11">
      <t>ガク</t>
    </rPh>
    <phoneticPr fontId="2"/>
  </si>
  <si>
    <t>注：1　補填金・積立金補正額は、３基金の金額の単純平均である。（算定基礎は別紙）</t>
    <phoneticPr fontId="2"/>
  </si>
  <si>
    <t xml:space="preserve">      2　補正前指数：「農業物価指数」の「（４）農業生産資材品目別価格指数と当月価格」の「飼料」の「乳用牛飼育用」の指数。</t>
    <phoneticPr fontId="2"/>
  </si>
  <si>
    <t xml:space="preserve">          配合飼料価格：同じく「農業物価指数」の「乳用牛飼育用」の「全国平均価格」。</t>
    <phoneticPr fontId="2"/>
  </si>
  <si>
    <t xml:space="preserve">          補填金･積立金補正額：別紙「積立金・補填金の差額」参照。</t>
    <phoneticPr fontId="2"/>
  </si>
  <si>
    <t xml:space="preserve">          農家実価格：「配合飼料価格」－上記の「補正額」。</t>
    <phoneticPr fontId="2"/>
  </si>
  <si>
    <t xml:space="preserve">          補正係数：上記「補正額」を「配合飼料価格」で除した係数。</t>
    <phoneticPr fontId="2"/>
  </si>
  <si>
    <t xml:space="preserve">          補正後の指数：「補正前指数」に「補正係数」を加算したもの。</t>
    <phoneticPr fontId="2"/>
  </si>
  <si>
    <t>2</t>
    <phoneticPr fontId="2"/>
  </si>
  <si>
    <t>18/1</t>
    <phoneticPr fontId="2"/>
  </si>
  <si>
    <t>19/1</t>
    <phoneticPr fontId="2"/>
  </si>
  <si>
    <t>20/1</t>
    <phoneticPr fontId="2"/>
  </si>
  <si>
    <t>21/1</t>
    <phoneticPr fontId="2"/>
  </si>
  <si>
    <t>22/1</t>
    <phoneticPr fontId="2"/>
  </si>
  <si>
    <t>23/1</t>
    <phoneticPr fontId="2"/>
  </si>
  <si>
    <t>24/1</t>
    <phoneticPr fontId="2"/>
  </si>
  <si>
    <t>2</t>
    <phoneticPr fontId="2"/>
  </si>
  <si>
    <t>25/1</t>
    <phoneticPr fontId="2"/>
  </si>
  <si>
    <t>データ元：全国配合飼料供給安定基金、全国畜産配合飼料価格安定基金、全日本配合飼料価格安定基金</t>
    <rPh sb="5" eb="7">
      <t>ゼンコク</t>
    </rPh>
    <rPh sb="7" eb="9">
      <t>ハイゴウ</t>
    </rPh>
    <rPh sb="9" eb="11">
      <t>シリョウ</t>
    </rPh>
    <rPh sb="11" eb="13">
      <t>キョウキュウ</t>
    </rPh>
    <rPh sb="13" eb="15">
      <t>アンテイ</t>
    </rPh>
    <rPh sb="15" eb="17">
      <t>キキン</t>
    </rPh>
    <phoneticPr fontId="2"/>
  </si>
  <si>
    <t>注：基準年における積立金・補填金は、下記の通りであり、四半期別の差額を単純平均した。</t>
    <rPh sb="0" eb="1">
      <t>チュウ</t>
    </rPh>
    <phoneticPr fontId="2"/>
  </si>
  <si>
    <t>　　2013年7～9月期は、畜産基金の業務方法書の定めによる補てん額の上限はトン当たり5,050円となったが、補てんを行う十分な財源が確保できなかったため、トン当たり2,400円の補てん交付を行うことが決定。特別対応として2,650円が補てんされた。</t>
    <rPh sb="6" eb="7">
      <t>ネン</t>
    </rPh>
    <rPh sb="10" eb="12">
      <t>ガツキ</t>
    </rPh>
    <rPh sb="104" eb="106">
      <t>トクベツ</t>
    </rPh>
    <rPh sb="106" eb="108">
      <t>タイオウ</t>
    </rPh>
    <rPh sb="116" eb="117">
      <t>エン</t>
    </rPh>
    <rPh sb="118" eb="119">
      <t>ホ</t>
    </rPh>
    <phoneticPr fontId="2"/>
  </si>
  <si>
    <t>2</t>
    <phoneticPr fontId="2"/>
  </si>
  <si>
    <t>18/1</t>
    <phoneticPr fontId="2"/>
  </si>
  <si>
    <t>19/1</t>
    <phoneticPr fontId="2"/>
  </si>
  <si>
    <t>2</t>
    <phoneticPr fontId="2"/>
  </si>
  <si>
    <t>20/1</t>
    <phoneticPr fontId="2"/>
  </si>
  <si>
    <t>21/1</t>
    <phoneticPr fontId="2"/>
  </si>
  <si>
    <t>22/1</t>
    <phoneticPr fontId="2"/>
  </si>
  <si>
    <t>23/1</t>
    <phoneticPr fontId="2"/>
  </si>
  <si>
    <t>2</t>
    <phoneticPr fontId="2"/>
  </si>
  <si>
    <t>24/1</t>
    <phoneticPr fontId="2"/>
  </si>
  <si>
    <t>25/1</t>
    <phoneticPr fontId="2"/>
  </si>
  <si>
    <t>　１  ～　３</t>
    <phoneticPr fontId="2"/>
  </si>
  <si>
    <t>　４  ～　６</t>
    <phoneticPr fontId="2"/>
  </si>
  <si>
    <t>　７  ～　９</t>
    <phoneticPr fontId="2"/>
  </si>
  <si>
    <t>１０  ～１２</t>
    <phoneticPr fontId="2"/>
  </si>
  <si>
    <t>　　なお、基準年において基金別による、積立金及び補填金の金額に差はない。</t>
    <phoneticPr fontId="2"/>
  </si>
  <si>
    <t>データ元：Jミルクデータベース内「主要乳製品の製造販売経費の変化率算定に利用する関連データ一覧」を参照</t>
    <rPh sb="3" eb="4">
      <t>モト</t>
    </rPh>
    <rPh sb="15" eb="16">
      <t>ナイ</t>
    </rPh>
    <rPh sb="49" eb="51">
      <t>サンショウ</t>
    </rPh>
    <phoneticPr fontId="2"/>
  </si>
  <si>
    <t>都府県生乳生産費試算プログラム基礎データ（DATA1）</t>
    <rPh sb="0" eb="3">
      <t>トフケン</t>
    </rPh>
    <rPh sb="3" eb="5">
      <t>セイニュウ</t>
    </rPh>
    <rPh sb="5" eb="7">
      <t>セイサン</t>
    </rPh>
    <rPh sb="7" eb="8">
      <t>ヒ</t>
    </rPh>
    <rPh sb="8" eb="10">
      <t>シサン</t>
    </rPh>
    <rPh sb="15" eb="17">
      <t>キソ</t>
    </rPh>
    <phoneticPr fontId="2"/>
  </si>
  <si>
    <t>都府県生乳生産費試算プログラム基礎データ（DATA2）</t>
    <rPh sb="0" eb="3">
      <t>トフケン</t>
    </rPh>
    <rPh sb="3" eb="5">
      <t>セイニュウ</t>
    </rPh>
    <rPh sb="5" eb="7">
      <t>セイサン</t>
    </rPh>
    <rPh sb="7" eb="8">
      <t>ヒ</t>
    </rPh>
    <rPh sb="8" eb="10">
      <t>シサン</t>
    </rPh>
    <rPh sb="15" eb="17">
      <t>キソ</t>
    </rPh>
    <phoneticPr fontId="2"/>
  </si>
  <si>
    <t>都府県生乳生産費試算プログラム基礎データ（DATA3）</t>
    <rPh sb="0" eb="3">
      <t>トフケン</t>
    </rPh>
    <rPh sb="3" eb="5">
      <t>セイニュウ</t>
    </rPh>
    <rPh sb="5" eb="7">
      <t>セイサン</t>
    </rPh>
    <rPh sb="7" eb="8">
      <t>ヒ</t>
    </rPh>
    <rPh sb="8" eb="10">
      <t>シサン</t>
    </rPh>
    <rPh sb="15" eb="17">
      <t>キソ</t>
    </rPh>
    <phoneticPr fontId="2"/>
  </si>
  <si>
    <t>Ｊ</t>
    <phoneticPr fontId="2"/>
  </si>
  <si>
    <t>K</t>
    <phoneticPr fontId="2"/>
  </si>
  <si>
    <t>L</t>
    <phoneticPr fontId="2"/>
  </si>
  <si>
    <t>M</t>
    <phoneticPr fontId="2"/>
  </si>
  <si>
    <t>N</t>
    <phoneticPr fontId="2"/>
  </si>
  <si>
    <t>O</t>
    <phoneticPr fontId="2"/>
  </si>
  <si>
    <t>P</t>
    <phoneticPr fontId="2"/>
  </si>
  <si>
    <t>Q</t>
    <phoneticPr fontId="2"/>
  </si>
  <si>
    <t>R</t>
    <phoneticPr fontId="2"/>
  </si>
  <si>
    <t>26/1</t>
    <phoneticPr fontId="2"/>
  </si>
  <si>
    <t>2</t>
    <phoneticPr fontId="2"/>
  </si>
  <si>
    <t>26/1</t>
    <phoneticPr fontId="2"/>
  </si>
  <si>
    <t>2014/1</t>
    <phoneticPr fontId="19"/>
  </si>
  <si>
    <t>26/1</t>
    <phoneticPr fontId="19"/>
  </si>
  <si>
    <t>2</t>
    <phoneticPr fontId="19"/>
  </si>
  <si>
    <t>4</t>
    <phoneticPr fontId="19"/>
  </si>
  <si>
    <t>7</t>
    <phoneticPr fontId="19"/>
  </si>
  <si>
    <t>8</t>
    <phoneticPr fontId="19"/>
  </si>
  <si>
    <t>-</t>
    <phoneticPr fontId="2"/>
  </si>
  <si>
    <t>27/1</t>
    <phoneticPr fontId="2"/>
  </si>
  <si>
    <t>価格差補填金・積立金を加味した配合飼料の実勢価格</t>
    <rPh sb="0" eb="3">
      <t>カカクサ</t>
    </rPh>
    <rPh sb="3" eb="5">
      <t>ホテン</t>
    </rPh>
    <rPh sb="5" eb="6">
      <t>キン</t>
    </rPh>
    <rPh sb="7" eb="9">
      <t>ツミタテ</t>
    </rPh>
    <rPh sb="9" eb="10">
      <t>キン</t>
    </rPh>
    <rPh sb="11" eb="13">
      <t>カミ</t>
    </rPh>
    <rPh sb="15" eb="17">
      <t>ハイゴウ</t>
    </rPh>
    <rPh sb="17" eb="19">
      <t>シリョウ</t>
    </rPh>
    <rPh sb="20" eb="22">
      <t>ジッセイ</t>
    </rPh>
    <rPh sb="22" eb="24">
      <t>カカク</t>
    </rPh>
    <phoneticPr fontId="2"/>
  </si>
  <si>
    <t>配合飼料の補填金・積立金の差額補正額</t>
    <rPh sb="5" eb="7">
      <t>ホテン</t>
    </rPh>
    <rPh sb="7" eb="8">
      <t>キン</t>
    </rPh>
    <rPh sb="9" eb="11">
      <t>ツミタテ</t>
    </rPh>
    <rPh sb="11" eb="12">
      <t>キン</t>
    </rPh>
    <rPh sb="13" eb="15">
      <t>サガク</t>
    </rPh>
    <rPh sb="15" eb="17">
      <t>ホセイ</t>
    </rPh>
    <rPh sb="17" eb="18">
      <t>ガク</t>
    </rPh>
    <phoneticPr fontId="2"/>
  </si>
  <si>
    <t>2015/1</t>
    <phoneticPr fontId="19"/>
  </si>
  <si>
    <t>27/1</t>
    <phoneticPr fontId="19"/>
  </si>
  <si>
    <t>2015/1</t>
    <phoneticPr fontId="19"/>
  </si>
  <si>
    <t>27/1</t>
    <phoneticPr fontId="2"/>
  </si>
  <si>
    <t xml:space="preserve">      2  色付セルについては確定値。</t>
    <rPh sb="9" eb="10">
      <t>イロ</t>
    </rPh>
    <rPh sb="10" eb="11">
      <t>ツキ</t>
    </rPh>
    <rPh sb="18" eb="20">
      <t>カクテイ</t>
    </rPh>
    <rPh sb="20" eb="21">
      <t>アタイ</t>
    </rPh>
    <phoneticPr fontId="2"/>
  </si>
  <si>
    <t>注：1　飼料費「平均」はJミルクによる算出。</t>
    <rPh sb="4" eb="6">
      <t>シリョウ</t>
    </rPh>
    <rPh sb="6" eb="7">
      <t>ヒ</t>
    </rPh>
    <rPh sb="8" eb="10">
      <t>ヘイキン</t>
    </rPh>
    <rPh sb="19" eb="21">
      <t>サンシュツ</t>
    </rPh>
    <phoneticPr fontId="2"/>
  </si>
  <si>
    <t>注：1　「aの過去48ヶ月」、「平均償却額」、「乳用老廃牛」、「乳廃牛処分損益」、「乳用牛償却費」、「前年比」、「2004/12＝100とした時の指数」はJミルクによる算出。</t>
    <rPh sb="7" eb="9">
      <t>カコ</t>
    </rPh>
    <rPh sb="12" eb="13">
      <t>ゲツ</t>
    </rPh>
    <rPh sb="16" eb="18">
      <t>ヘイキン</t>
    </rPh>
    <rPh sb="18" eb="21">
      <t>ショウキャクガク</t>
    </rPh>
    <rPh sb="24" eb="25">
      <t>ニュウ</t>
    </rPh>
    <rPh sb="25" eb="26">
      <t>ヨウ</t>
    </rPh>
    <rPh sb="26" eb="28">
      <t>ロウハイ</t>
    </rPh>
    <rPh sb="28" eb="29">
      <t>ギュウ</t>
    </rPh>
    <rPh sb="32" eb="35">
      <t>ニュウハイギュウ</t>
    </rPh>
    <rPh sb="35" eb="37">
      <t>ショブン</t>
    </rPh>
    <rPh sb="37" eb="39">
      <t>ソンエキ</t>
    </rPh>
    <rPh sb="42" eb="43">
      <t>ニュウ</t>
    </rPh>
    <rPh sb="43" eb="44">
      <t>ヨウ</t>
    </rPh>
    <rPh sb="44" eb="45">
      <t>ギュウ</t>
    </rPh>
    <rPh sb="45" eb="47">
      <t>ショウキャク</t>
    </rPh>
    <rPh sb="47" eb="48">
      <t>ヒ</t>
    </rPh>
    <rPh sb="51" eb="54">
      <t>ゼンネンヒ</t>
    </rPh>
    <rPh sb="71" eb="72">
      <t>トキ</t>
    </rPh>
    <rPh sb="73" eb="75">
      <t>シスウ</t>
    </rPh>
    <rPh sb="84" eb="86">
      <t>サンシュツ</t>
    </rPh>
    <phoneticPr fontId="2"/>
  </si>
  <si>
    <t xml:space="preserve">      3  色付セルについては確定値。</t>
    <rPh sb="9" eb="10">
      <t>イロ</t>
    </rPh>
    <rPh sb="10" eb="11">
      <t>ツキ</t>
    </rPh>
    <rPh sb="18" eb="20">
      <t>カクテイ</t>
    </rPh>
    <rPh sb="20" eb="21">
      <t>アタイ</t>
    </rPh>
    <phoneticPr fontId="2"/>
  </si>
  <si>
    <t xml:space="preserve">      2　労働費（雇用労働費）の「男」、「女」の実数は2007年1月より過去3年の平均に変更。</t>
    <rPh sb="8" eb="11">
      <t>ロウドウヒ</t>
    </rPh>
    <rPh sb="12" eb="14">
      <t>コヨウ</t>
    </rPh>
    <rPh sb="14" eb="16">
      <t>ロウドウ</t>
    </rPh>
    <rPh sb="16" eb="17">
      <t>ヒ</t>
    </rPh>
    <rPh sb="20" eb="21">
      <t>オトコ</t>
    </rPh>
    <rPh sb="24" eb="25">
      <t>オンナ</t>
    </rPh>
    <rPh sb="27" eb="29">
      <t>ジッスウ</t>
    </rPh>
    <rPh sb="34" eb="35">
      <t>ネン</t>
    </rPh>
    <rPh sb="36" eb="37">
      <t>ガツ</t>
    </rPh>
    <rPh sb="39" eb="41">
      <t>カコ</t>
    </rPh>
    <rPh sb="42" eb="43">
      <t>ネン</t>
    </rPh>
    <rPh sb="44" eb="46">
      <t>ヘイキン</t>
    </rPh>
    <rPh sb="47" eb="49">
      <t>ヘンコウ</t>
    </rPh>
    <phoneticPr fontId="2"/>
  </si>
  <si>
    <t>28/1</t>
    <phoneticPr fontId="2"/>
  </si>
  <si>
    <t>2016/1</t>
    <phoneticPr fontId="19"/>
  </si>
  <si>
    <t>28/1</t>
    <phoneticPr fontId="19"/>
  </si>
  <si>
    <t>2016/1</t>
    <phoneticPr fontId="19"/>
  </si>
  <si>
    <t>28/1</t>
    <phoneticPr fontId="19"/>
  </si>
  <si>
    <t>28/1</t>
    <phoneticPr fontId="2"/>
  </si>
  <si>
    <t>2017/1</t>
    <phoneticPr fontId="19"/>
  </si>
  <si>
    <t>29/1</t>
    <phoneticPr fontId="19"/>
  </si>
  <si>
    <t>29/1</t>
    <phoneticPr fontId="2"/>
  </si>
  <si>
    <t>11/1</t>
    <phoneticPr fontId="19"/>
  </si>
  <si>
    <t>平成22/1</t>
    <phoneticPr fontId="19"/>
  </si>
  <si>
    <t>平成 22/1</t>
    <phoneticPr fontId="19"/>
  </si>
  <si>
    <t>平成 22/1</t>
    <phoneticPr fontId="19"/>
  </si>
  <si>
    <t>2018/1</t>
    <phoneticPr fontId="19"/>
  </si>
  <si>
    <t>30/1</t>
    <phoneticPr fontId="19"/>
  </si>
  <si>
    <t>2018/1</t>
    <phoneticPr fontId="19"/>
  </si>
  <si>
    <t>30/1</t>
    <phoneticPr fontId="19"/>
  </si>
  <si>
    <t>30/1</t>
    <phoneticPr fontId="2"/>
  </si>
  <si>
    <t>2019/1</t>
    <phoneticPr fontId="19"/>
  </si>
  <si>
    <t>31/1</t>
    <phoneticPr fontId="19"/>
  </si>
  <si>
    <t>2</t>
    <phoneticPr fontId="19"/>
  </si>
  <si>
    <t>4</t>
    <phoneticPr fontId="19"/>
  </si>
  <si>
    <t>令和元/5</t>
    <rPh sb="0" eb="2">
      <t>レイワ</t>
    </rPh>
    <rPh sb="2" eb="3">
      <t>ガン</t>
    </rPh>
    <phoneticPr fontId="2"/>
  </si>
  <si>
    <t>7</t>
    <phoneticPr fontId="19"/>
  </si>
  <si>
    <t>8</t>
    <phoneticPr fontId="19"/>
  </si>
  <si>
    <t>2020/1</t>
    <phoneticPr fontId="19"/>
  </si>
  <si>
    <t>令和2/1</t>
    <phoneticPr fontId="19"/>
  </si>
  <si>
    <t>2021/1</t>
    <phoneticPr fontId="19"/>
  </si>
  <si>
    <t>3/1</t>
    <phoneticPr fontId="19"/>
  </si>
  <si>
    <t>2022/1</t>
    <phoneticPr fontId="19"/>
  </si>
  <si>
    <t>4/1</t>
    <phoneticPr fontId="19"/>
  </si>
  <si>
    <t>2</t>
    <phoneticPr fontId="19"/>
  </si>
  <si>
    <t>4</t>
    <phoneticPr fontId="19"/>
  </si>
  <si>
    <t>7</t>
    <phoneticPr fontId="19"/>
  </si>
  <si>
    <t>8</t>
    <phoneticPr fontId="19"/>
  </si>
  <si>
    <t>2023/1</t>
    <phoneticPr fontId="19"/>
  </si>
  <si>
    <t>5/1</t>
    <phoneticPr fontId="19"/>
  </si>
  <si>
    <t>2023/1</t>
    <phoneticPr fontId="2"/>
  </si>
  <si>
    <t>2</t>
    <phoneticPr fontId="19"/>
  </si>
  <si>
    <t>4</t>
    <phoneticPr fontId="19"/>
  </si>
  <si>
    <t>7</t>
    <phoneticPr fontId="19"/>
  </si>
  <si>
    <t>8</t>
    <phoneticPr fontId="19"/>
  </si>
  <si>
    <t>2</t>
    <phoneticPr fontId="19"/>
  </si>
  <si>
    <t xml:space="preserve">      4  農水省：農業物価統計は令和2年（2020年）度基準に変更。2019年以前とは連続しない。</t>
    <rPh sb="9" eb="12">
      <t>ノウスイショウ</t>
    </rPh>
    <rPh sb="13" eb="15">
      <t>ノウギョウ</t>
    </rPh>
    <rPh sb="15" eb="17">
      <t>ブッカ</t>
    </rPh>
    <rPh sb="17" eb="19">
      <t>トウケイ</t>
    </rPh>
    <rPh sb="20" eb="22">
      <t>レイワ</t>
    </rPh>
    <rPh sb="23" eb="24">
      <t>ネン</t>
    </rPh>
    <rPh sb="29" eb="30">
      <t>ネン</t>
    </rPh>
    <rPh sb="31" eb="32">
      <t>ド</t>
    </rPh>
    <rPh sb="32" eb="34">
      <t>キジュン</t>
    </rPh>
    <rPh sb="35" eb="37">
      <t>ヘンコウ</t>
    </rPh>
    <rPh sb="42" eb="43">
      <t>ネン</t>
    </rPh>
    <rPh sb="43" eb="45">
      <t>イゼン</t>
    </rPh>
    <rPh sb="47" eb="49">
      <t>レンゾク</t>
    </rPh>
    <phoneticPr fontId="2"/>
  </si>
  <si>
    <t xml:space="preserve">      3  農水省：農業物価統計は令和2年（2020年）度基準に変更。2019年以前とは連続しない。</t>
    <rPh sb="9" eb="12">
      <t>ノウスイショウ</t>
    </rPh>
    <rPh sb="13" eb="15">
      <t>ノウギョウ</t>
    </rPh>
    <rPh sb="15" eb="17">
      <t>ブッカ</t>
    </rPh>
    <rPh sb="17" eb="19">
      <t>トウケイ</t>
    </rPh>
    <rPh sb="20" eb="22">
      <t>レイワ</t>
    </rPh>
    <rPh sb="23" eb="24">
      <t>ネン</t>
    </rPh>
    <rPh sb="29" eb="30">
      <t>ネン</t>
    </rPh>
    <rPh sb="31" eb="32">
      <t>ド</t>
    </rPh>
    <rPh sb="32" eb="34">
      <t>キジュン</t>
    </rPh>
    <rPh sb="35" eb="37">
      <t>ヘンコウ</t>
    </rPh>
    <rPh sb="42" eb="43">
      <t>ネン</t>
    </rPh>
    <rPh sb="43" eb="45">
      <t>イゼン</t>
    </rPh>
    <rPh sb="47" eb="49">
      <t>レンゾク</t>
    </rPh>
    <phoneticPr fontId="2"/>
  </si>
  <si>
    <t>2024/1</t>
    <phoneticPr fontId="19"/>
  </si>
  <si>
    <t>6/1</t>
    <phoneticPr fontId="19"/>
  </si>
  <si>
    <t>2025/1</t>
    <phoneticPr fontId="19"/>
  </si>
  <si>
    <t>7/1</t>
    <phoneticPr fontId="19"/>
  </si>
  <si>
    <t>2</t>
    <phoneticPr fontId="19"/>
  </si>
  <si>
    <t>4</t>
    <phoneticPr fontId="19"/>
  </si>
  <si>
    <t>7</t>
    <phoneticPr fontId="19"/>
  </si>
  <si>
    <t>8</t>
    <phoneticPr fontId="19"/>
  </si>
  <si>
    <t>2</t>
    <phoneticPr fontId="19"/>
  </si>
  <si>
    <t>4</t>
    <phoneticPr fontId="19"/>
  </si>
  <si>
    <t>7</t>
    <phoneticPr fontId="19"/>
  </si>
  <si>
    <t>8</t>
    <phoneticPr fontId="19"/>
  </si>
  <si>
    <t>毎月1回更新、最優更新日2025/4/18</t>
    <rPh sb="0" eb="2">
      <t>マイツキ</t>
    </rPh>
    <rPh sb="3" eb="4">
      <t>カイ</t>
    </rPh>
    <rPh sb="4" eb="6">
      <t>コウシン</t>
    </rPh>
    <rPh sb="7" eb="8">
      <t>サイ</t>
    </rPh>
    <rPh sb="8" eb="9">
      <t>ユウ</t>
    </rPh>
    <rPh sb="9" eb="12">
      <t>コウシンビ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</si>
</sst>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176" formatCode="0.000"/>
    <numFmt numFmtId="177" formatCode="0.0"/>
    <numFmt numFmtId="178" formatCode="yyyy/m"/>
    <numFmt numFmtId="179" formatCode="0.0_ "/>
    <numFmt numFmtId="180" formatCode="#,##0.0000_ "/>
    <numFmt numFmtId="181" formatCode="0_ "/>
    <numFmt numFmtId="182" formatCode="#,##0.0;[Red]\-#,##0.0"/>
    <numFmt numFmtId="183" formatCode="0.000_);[Red]\(0.000\)"/>
    <numFmt numFmtId="184" formatCode="#,##0.000_ ;[Red]\-#,##0.000\ "/>
    <numFmt numFmtId="185" formatCode="0.0_);[Red]\(0.0\)"/>
    <numFmt numFmtId="186" formatCode="#,##0.0&quot;kg&quot;"/>
    <numFmt numFmtId="187" formatCode="#,##0&quot;円&quot;"/>
    <numFmt numFmtId="188" formatCode="#,##0.0"/>
    <numFmt numFmtId="189" formatCode="#,##0_ "/>
    <numFmt numFmtId="190" formatCode="0.00000_ "/>
    <numFmt numFmtId="191" formatCode="0.0000000_);[Red]\(0.0000000\)"/>
    <numFmt numFmtId="192" formatCode="#,##0;&quot;▲ &quot;#,##0"/>
    <numFmt numFmtId="193" formatCode="#,##0.0_ "/>
    <numFmt numFmtId="194" formatCode="#,##0;\-#,##0;&quot;-&quot;"/>
    <numFmt numFmtId="195" formatCode="0_);[Red]\(0\)"/>
    <numFmt numFmtId="196" formatCode="&quot;$&quot;#,##0_);[Red]\(&quot;$&quot;#,##0\)"/>
  </numFmts>
  <fonts count="4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9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9"/>
      <color indexed="9"/>
      <name val="ＭＳ Ｐ明朝"/>
      <family val="1"/>
      <charset val="128"/>
    </font>
    <font>
      <sz val="9"/>
      <name val="ＭＳ Ｐゴシック"/>
      <family val="3"/>
      <charset val="128"/>
    </font>
    <font>
      <sz val="9"/>
      <color indexed="10"/>
      <name val="ＭＳ Ｐ明朝"/>
      <family val="1"/>
      <charset val="128"/>
    </font>
    <font>
      <sz val="9"/>
      <color indexed="9"/>
      <name val="ＭＳ Ｐゴシック"/>
      <family val="3"/>
      <charset val="128"/>
    </font>
    <font>
      <sz val="9"/>
      <color indexed="62"/>
      <name val="ＭＳ Ｐゴシック"/>
      <family val="3"/>
      <charset val="128"/>
    </font>
    <font>
      <b/>
      <sz val="9"/>
      <name val="ＭＳ Ｐ明朝"/>
      <family val="1"/>
      <charset val="128"/>
    </font>
    <font>
      <b/>
      <sz val="9"/>
      <color indexed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0"/>
      <name val="Century"/>
      <family val="1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0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0"/>
      <color theme="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10"/>
      <color theme="0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MS UI Gothic"/>
      <family val="3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Ｐ明朝"/>
      <family val="1"/>
      <charset val="128"/>
    </font>
    <font>
      <sz val="9"/>
      <color indexed="27"/>
      <name val="明朝"/>
      <family val="1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mediumGray">
        <fgColor indexed="8"/>
        <bgColor indexed="37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</fills>
  <borders count="148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64"/>
      </right>
      <top style="thin">
        <color indexed="9"/>
      </top>
      <bottom/>
      <diagonal/>
    </border>
    <border>
      <left style="thin">
        <color indexed="55"/>
      </left>
      <right style="thin">
        <color indexed="55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thin">
        <color indexed="55"/>
      </top>
      <bottom style="thin">
        <color indexed="64"/>
      </bottom>
      <diagonal/>
    </border>
    <border>
      <left/>
      <right/>
      <top style="thin">
        <color indexed="55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64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theme="1" tint="0.499984740745262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theme="1" tint="0.499984740745262"/>
      </top>
      <bottom/>
      <diagonal/>
    </border>
    <border>
      <left/>
      <right style="thin">
        <color indexed="64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 style="thin">
        <color indexed="8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8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indexed="8"/>
      </left>
      <right style="thin">
        <color theme="0" tint="-0.499984740745262"/>
      </right>
      <top/>
      <bottom/>
      <diagonal/>
    </border>
    <border>
      <left style="thin">
        <color indexed="8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/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auto="1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auto="1"/>
      </left>
      <right style="thin">
        <color theme="0" tint="-0.499984740745262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theme="0" tint="-0.499984740745262"/>
      </right>
      <top/>
      <bottom/>
      <diagonal/>
    </border>
    <border>
      <left style="thin">
        <color auto="1"/>
      </left>
      <right style="thin">
        <color theme="0" tint="-0.499984740745262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 style="thin">
        <color indexed="64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/>
      <bottom style="thin">
        <color indexed="55"/>
      </bottom>
      <diagonal/>
    </border>
    <border>
      <left style="thin">
        <color indexed="8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auto="1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auto="1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auto="1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55"/>
      </right>
      <top/>
      <bottom/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auto="1"/>
      </left>
      <right style="thin">
        <color theme="0" tint="-0.499984740745262"/>
      </right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1" tint="0.499984740745262"/>
      </top>
      <bottom/>
      <diagonal/>
    </border>
    <border>
      <left style="thin">
        <color indexed="8"/>
      </left>
      <right style="thin">
        <color theme="0" tint="-0.499984740745262"/>
      </right>
      <top style="thin">
        <color theme="1" tint="0.499984740745262"/>
      </top>
      <bottom/>
      <diagonal/>
    </border>
    <border>
      <left style="thin">
        <color auto="1"/>
      </left>
      <right style="thin">
        <color theme="0" tint="-0.499984740745262"/>
      </right>
      <top style="thin">
        <color theme="1" tint="0.499984740745262"/>
      </top>
      <bottom/>
      <diagonal/>
    </border>
    <border>
      <left style="thin">
        <color indexed="8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1" tint="0.499984740745262"/>
      </top>
      <bottom/>
      <diagonal/>
    </border>
    <border>
      <left style="thin">
        <color auto="1"/>
      </left>
      <right style="thin">
        <color theme="0" tint="-0.499984740745262"/>
      </right>
      <top/>
      <bottom/>
      <diagonal/>
    </border>
    <border>
      <left style="thin">
        <color indexed="8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theme="0" tint="-0.499984740745262"/>
      </right>
      <top/>
      <bottom/>
      <diagonal/>
    </border>
    <border>
      <left style="thin">
        <color auto="1"/>
      </left>
      <right style="thin">
        <color theme="0" tint="-0.499984740745262"/>
      </right>
      <top/>
      <bottom/>
      <diagonal/>
    </border>
    <border>
      <left style="thin">
        <color indexed="8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theme="0" tint="-0.499984740745262"/>
      </right>
      <top/>
      <bottom style="thin">
        <color theme="1" tint="0.499984740745262"/>
      </bottom>
      <diagonal/>
    </border>
    <border>
      <left style="thin">
        <color theme="0" tint="-0.499984740745262"/>
      </left>
      <right/>
      <top/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1" tint="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1" tint="0.499984740745262"/>
      </bottom>
      <diagonal/>
    </border>
    <border>
      <left/>
      <right style="thin">
        <color theme="0" tint="-0.499984740745262"/>
      </right>
      <top/>
      <bottom style="thin">
        <color theme="1" tint="0.499984740745262"/>
      </bottom>
      <diagonal/>
    </border>
    <border>
      <left/>
      <right style="thin">
        <color theme="0" tint="-0.499984740745262"/>
      </right>
      <top style="thin">
        <color theme="1" tint="0.499984740745262"/>
      </top>
      <bottom/>
      <diagonal/>
    </border>
    <border>
      <left style="thin">
        <color indexed="8"/>
      </left>
      <right style="thin">
        <color theme="0" tint="-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1" tint="4.9989318521683403E-2"/>
      </bottom>
      <diagonal/>
    </border>
  </borders>
  <cellStyleXfs count="17">
    <xf numFmtId="0" fontId="0" fillId="0" borderId="0"/>
    <xf numFmtId="38" fontId="1" fillId="0" borderId="0" applyFont="0" applyFill="0" applyBorder="0" applyAlignment="0" applyProtection="0"/>
    <xf numFmtId="194" fontId="20" fillId="0" borderId="0" applyFill="0" applyBorder="0" applyAlignment="0"/>
    <xf numFmtId="0" fontId="21" fillId="0" borderId="61" applyNumberFormat="0" applyAlignment="0" applyProtection="0">
      <alignment horizontal="left" vertical="center"/>
    </xf>
    <xf numFmtId="0" fontId="21" fillId="0" borderId="39">
      <alignment horizontal="left" vertical="center"/>
    </xf>
    <xf numFmtId="0" fontId="22" fillId="0" borderId="0"/>
    <xf numFmtId="38" fontId="1" fillId="0" borderId="0" applyFont="0" applyFill="0" applyBorder="0" applyAlignment="0" applyProtection="0"/>
    <xf numFmtId="0" fontId="23" fillId="0" borderId="0">
      <alignment vertical="center"/>
    </xf>
    <xf numFmtId="0" fontId="24" fillId="0" borderId="0"/>
    <xf numFmtId="0" fontId="37" fillId="0" borderId="0" applyProtection="0"/>
    <xf numFmtId="4" fontId="39" fillId="10" borderId="0" applyNumberFormat="0" applyBorder="0" applyAlignment="0" applyProtection="0">
      <alignment horizontal="left"/>
    </xf>
    <xf numFmtId="38" fontId="22" fillId="0" borderId="0" applyFont="0" applyFill="0" applyBorder="0" applyAlignment="0" applyProtection="0"/>
    <xf numFmtId="196" fontId="22" fillId="0" borderId="0" applyFont="0" applyFill="0" applyBorder="0" applyAlignment="0" applyProtection="0"/>
    <xf numFmtId="38" fontId="38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</cellStyleXfs>
  <cellXfs count="730">
    <xf numFmtId="0" fontId="0" fillId="0" borderId="0" xfId="0"/>
    <xf numFmtId="177" fontId="3" fillId="0" borderId="0" xfId="0" applyNumberFormat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181" fontId="6" fillId="0" borderId="0" xfId="0" applyNumberFormat="1" applyFont="1" applyAlignment="1">
      <alignment vertical="center"/>
    </xf>
    <xf numFmtId="177" fontId="4" fillId="2" borderId="1" xfId="0" applyNumberFormat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177" fontId="4" fillId="0" borderId="0" xfId="0" applyNumberFormat="1" applyFont="1" applyBorder="1" applyAlignment="1">
      <alignment vertical="center"/>
    </xf>
    <xf numFmtId="179" fontId="4" fillId="0" borderId="0" xfId="0" applyNumberFormat="1" applyFont="1" applyAlignment="1">
      <alignment vertical="center"/>
    </xf>
    <xf numFmtId="180" fontId="4" fillId="0" borderId="0" xfId="0" applyNumberFormat="1" applyFont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0" fillId="2" borderId="2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181" fontId="8" fillId="0" borderId="0" xfId="0" applyNumberFormat="1" applyFont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177" fontId="3" fillId="0" borderId="0" xfId="1" applyNumberFormat="1" applyFont="1" applyFill="1" applyBorder="1" applyAlignment="1">
      <alignment vertical="center"/>
    </xf>
    <xf numFmtId="176" fontId="3" fillId="0" borderId="0" xfId="1" applyNumberFormat="1" applyFont="1" applyFill="1" applyBorder="1" applyAlignment="1">
      <alignment vertical="center"/>
    </xf>
    <xf numFmtId="0" fontId="0" fillId="0" borderId="0" xfId="0" applyBorder="1"/>
    <xf numFmtId="0" fontId="4" fillId="0" borderId="3" xfId="0" applyFont="1" applyBorder="1" applyAlignment="1">
      <alignment vertical="center"/>
    </xf>
    <xf numFmtId="0" fontId="11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Continuous" vertical="center"/>
    </xf>
    <xf numFmtId="0" fontId="11" fillId="0" borderId="4" xfId="0" applyFont="1" applyBorder="1" applyAlignment="1">
      <alignment horizontal="centerContinuous" vertical="center"/>
    </xf>
    <xf numFmtId="0" fontId="11" fillId="0" borderId="5" xfId="0" applyFont="1" applyBorder="1" applyAlignment="1">
      <alignment horizontal="center" vertical="center"/>
    </xf>
    <xf numFmtId="0" fontId="4" fillId="0" borderId="0" xfId="0" applyFont="1" applyFill="1"/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Continuous" vertical="center" wrapText="1"/>
    </xf>
    <xf numFmtId="0" fontId="4" fillId="0" borderId="3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Continuous" vertical="center"/>
    </xf>
    <xf numFmtId="0" fontId="4" fillId="0" borderId="0" xfId="0" applyFont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178" fontId="4" fillId="0" borderId="10" xfId="0" applyNumberFormat="1" applyFont="1" applyBorder="1"/>
    <xf numFmtId="178" fontId="4" fillId="0" borderId="13" xfId="0" applyNumberFormat="1" applyFont="1" applyBorder="1"/>
    <xf numFmtId="188" fontId="4" fillId="0" borderId="11" xfId="0" applyNumberFormat="1" applyFont="1" applyBorder="1"/>
    <xf numFmtId="188" fontId="4" fillId="0" borderId="14" xfId="0" applyNumberFormat="1" applyFont="1" applyBorder="1"/>
    <xf numFmtId="188" fontId="4" fillId="0" borderId="12" xfId="0" applyNumberFormat="1" applyFont="1" applyBorder="1"/>
    <xf numFmtId="188" fontId="4" fillId="0" borderId="15" xfId="0" applyNumberFormat="1" applyFont="1" applyBorder="1"/>
    <xf numFmtId="0" fontId="9" fillId="3" borderId="16" xfId="0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Continuous" vertical="center"/>
    </xf>
    <xf numFmtId="0" fontId="12" fillId="3" borderId="18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Continuous" vertical="center" wrapText="1"/>
    </xf>
    <xf numFmtId="0" fontId="9" fillId="3" borderId="20" xfId="0" applyFont="1" applyFill="1" applyBorder="1" applyAlignment="1">
      <alignment horizontal="center" vertical="center" shrinkToFit="1"/>
    </xf>
    <xf numFmtId="0" fontId="9" fillId="3" borderId="20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Continuous" vertical="center"/>
    </xf>
    <xf numFmtId="0" fontId="9" fillId="3" borderId="21" xfId="0" applyFont="1" applyFill="1" applyBorder="1" applyAlignment="1">
      <alignment horizontal="centerContinuous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Continuous" vertical="center" wrapText="1"/>
    </xf>
    <xf numFmtId="0" fontId="9" fillId="3" borderId="23" xfId="0" applyFont="1" applyFill="1" applyBorder="1" applyAlignment="1">
      <alignment horizontal="center" vertical="center" shrinkToFit="1"/>
    </xf>
    <xf numFmtId="0" fontId="9" fillId="3" borderId="23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Continuous" vertical="center"/>
    </xf>
    <xf numFmtId="0" fontId="9" fillId="3" borderId="24" xfId="0" applyFont="1" applyFill="1" applyBorder="1" applyAlignment="1">
      <alignment horizontal="centerContinuous" vertical="center" wrapText="1"/>
    </xf>
    <xf numFmtId="0" fontId="8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85" fontId="4" fillId="4" borderId="25" xfId="0" applyNumberFormat="1" applyFont="1" applyFill="1" applyBorder="1" applyAlignment="1">
      <alignment vertical="center"/>
    </xf>
    <xf numFmtId="185" fontId="8" fillId="0" borderId="0" xfId="0" applyNumberFormat="1" applyFont="1" applyAlignment="1">
      <alignment vertical="center"/>
    </xf>
    <xf numFmtId="185" fontId="6" fillId="0" borderId="0" xfId="0" applyNumberFormat="1" applyFont="1" applyAlignment="1">
      <alignment vertical="center"/>
    </xf>
    <xf numFmtId="185" fontId="4" fillId="0" borderId="0" xfId="0" applyNumberFormat="1" applyFont="1" applyAlignment="1">
      <alignment vertical="center"/>
    </xf>
    <xf numFmtId="185" fontId="10" fillId="2" borderId="2" xfId="0" applyNumberFormat="1" applyFont="1" applyFill="1" applyBorder="1" applyAlignment="1">
      <alignment vertical="center"/>
    </xf>
    <xf numFmtId="185" fontId="4" fillId="2" borderId="1" xfId="0" applyNumberFormat="1" applyFont="1" applyFill="1" applyBorder="1" applyAlignment="1">
      <alignment vertical="center"/>
    </xf>
    <xf numFmtId="185" fontId="4" fillId="0" borderId="0" xfId="0" applyNumberFormat="1" applyFont="1" applyBorder="1" applyAlignment="1">
      <alignment vertical="center"/>
    </xf>
    <xf numFmtId="185" fontId="10" fillId="4" borderId="2" xfId="0" applyNumberFormat="1" applyFont="1" applyFill="1" applyBorder="1" applyAlignment="1">
      <alignment vertical="center"/>
    </xf>
    <xf numFmtId="190" fontId="4" fillId="0" borderId="0" xfId="0" applyNumberFormat="1" applyFont="1" applyAlignment="1">
      <alignment vertical="center"/>
    </xf>
    <xf numFmtId="188" fontId="4" fillId="0" borderId="0" xfId="0" applyNumberFormat="1" applyFont="1"/>
    <xf numFmtId="0" fontId="15" fillId="5" borderId="0" xfId="0" applyFont="1" applyFill="1"/>
    <xf numFmtId="0" fontId="15" fillId="5" borderId="0" xfId="0" applyFont="1" applyFill="1" applyAlignment="1">
      <alignment vertical="center"/>
    </xf>
    <xf numFmtId="186" fontId="15" fillId="5" borderId="0" xfId="0" applyNumberFormat="1" applyFont="1" applyFill="1" applyAlignment="1">
      <alignment vertical="center"/>
    </xf>
    <xf numFmtId="0" fontId="15" fillId="5" borderId="0" xfId="0" applyNumberFormat="1" applyFont="1" applyFill="1" applyBorder="1" applyAlignment="1">
      <alignment horizontal="right" vertical="center" shrinkToFit="1"/>
    </xf>
    <xf numFmtId="191" fontId="15" fillId="5" borderId="0" xfId="0" applyNumberFormat="1" applyFont="1" applyFill="1"/>
    <xf numFmtId="189" fontId="15" fillId="5" borderId="0" xfId="0" applyNumberFormat="1" applyFont="1" applyFill="1" applyAlignment="1">
      <alignment vertical="center"/>
    </xf>
    <xf numFmtId="189" fontId="15" fillId="5" borderId="0" xfId="0" applyNumberFormat="1" applyFont="1" applyFill="1"/>
    <xf numFmtId="185" fontId="18" fillId="5" borderId="67" xfId="0" applyNumberFormat="1" applyFont="1" applyFill="1" applyBorder="1" applyAlignment="1">
      <alignment vertical="center"/>
    </xf>
    <xf numFmtId="185" fontId="18" fillId="5" borderId="56" xfId="0" applyNumberFormat="1" applyFont="1" applyFill="1" applyBorder="1" applyAlignment="1">
      <alignment vertical="center"/>
    </xf>
    <xf numFmtId="185" fontId="18" fillId="5" borderId="64" xfId="0" applyNumberFormat="1" applyFont="1" applyFill="1" applyBorder="1" applyAlignment="1">
      <alignment vertical="center"/>
    </xf>
    <xf numFmtId="185" fontId="18" fillId="5" borderId="55" xfId="0" applyNumberFormat="1" applyFont="1" applyFill="1" applyBorder="1" applyAlignment="1">
      <alignment vertical="center"/>
    </xf>
    <xf numFmtId="185" fontId="18" fillId="5" borderId="69" xfId="0" applyNumberFormat="1" applyFont="1" applyFill="1" applyBorder="1" applyAlignment="1">
      <alignment vertical="center"/>
    </xf>
    <xf numFmtId="185" fontId="18" fillId="5" borderId="66" xfId="0" applyNumberFormat="1" applyFont="1" applyFill="1" applyBorder="1" applyAlignment="1">
      <alignment vertical="center"/>
    </xf>
    <xf numFmtId="185" fontId="15" fillId="5" borderId="0" xfId="0" applyNumberFormat="1" applyFont="1" applyFill="1"/>
    <xf numFmtId="0" fontId="13" fillId="5" borderId="0" xfId="0" applyFont="1" applyFill="1"/>
    <xf numFmtId="0" fontId="14" fillId="5" borderId="0" xfId="0" applyFont="1" applyFill="1"/>
    <xf numFmtId="0" fontId="13" fillId="5" borderId="0" xfId="0" applyFont="1" applyFill="1" applyAlignment="1">
      <alignment horizontal="right"/>
    </xf>
    <xf numFmtId="185" fontId="26" fillId="5" borderId="56" xfId="0" applyNumberFormat="1" applyFont="1" applyFill="1" applyBorder="1" applyAlignment="1">
      <alignment vertical="center"/>
    </xf>
    <xf numFmtId="185" fontId="26" fillId="5" borderId="67" xfId="0" applyNumberFormat="1" applyFont="1" applyFill="1" applyBorder="1" applyAlignment="1">
      <alignment vertical="center"/>
    </xf>
    <xf numFmtId="185" fontId="26" fillId="5" borderId="64" xfId="0" applyNumberFormat="1" applyFont="1" applyFill="1" applyBorder="1" applyAlignment="1">
      <alignment vertical="center"/>
    </xf>
    <xf numFmtId="0" fontId="27" fillId="7" borderId="83" xfId="0" applyFont="1" applyFill="1" applyBorder="1" applyAlignment="1">
      <alignment horizontal="centerContinuous" vertical="center"/>
    </xf>
    <xf numFmtId="186" fontId="28" fillId="7" borderId="86" xfId="0" applyNumberFormat="1" applyFont="1" applyFill="1" applyBorder="1" applyAlignment="1">
      <alignment horizontal="right" vertical="center" wrapText="1"/>
    </xf>
    <xf numFmtId="187" fontId="28" fillId="7" borderId="86" xfId="0" applyNumberFormat="1" applyFont="1" applyFill="1" applyBorder="1" applyAlignment="1">
      <alignment horizontal="right" vertical="center" wrapText="1"/>
    </xf>
    <xf numFmtId="187" fontId="28" fillId="7" borderId="86" xfId="0" applyNumberFormat="1" applyFont="1" applyFill="1" applyBorder="1" applyAlignment="1">
      <alignment horizontal="right" vertical="center" shrinkToFit="1"/>
    </xf>
    <xf numFmtId="0" fontId="28" fillId="7" borderId="86" xfId="0" applyFont="1" applyFill="1" applyBorder="1" applyAlignment="1">
      <alignment horizontal="center" vertical="center" shrinkToFit="1"/>
    </xf>
    <xf numFmtId="0" fontId="28" fillId="7" borderId="86" xfId="0" applyFont="1" applyFill="1" applyBorder="1" applyAlignment="1">
      <alignment vertical="center" wrapText="1"/>
    </xf>
    <xf numFmtId="0" fontId="28" fillId="7" borderId="87" xfId="0" applyFont="1" applyFill="1" applyBorder="1" applyAlignment="1">
      <alignment vertical="center"/>
    </xf>
    <xf numFmtId="185" fontId="29" fillId="7" borderId="89" xfId="0" applyNumberFormat="1" applyFont="1" applyFill="1" applyBorder="1" applyAlignment="1">
      <alignment horizontal="right" vertical="center" shrinkToFit="1"/>
    </xf>
    <xf numFmtId="185" fontId="29" fillId="7" borderId="90" xfId="0" applyNumberFormat="1" applyFont="1" applyFill="1" applyBorder="1" applyAlignment="1">
      <alignment horizontal="right" vertical="center" shrinkToFit="1"/>
    </xf>
    <xf numFmtId="0" fontId="28" fillId="7" borderId="91" xfId="0" applyFont="1" applyFill="1" applyBorder="1" applyAlignment="1">
      <alignment vertical="center"/>
    </xf>
    <xf numFmtId="49" fontId="14" fillId="6" borderId="55" xfId="0" applyNumberFormat="1" applyFont="1" applyFill="1" applyBorder="1" applyAlignment="1">
      <alignment horizontal="right" vertical="center"/>
    </xf>
    <xf numFmtId="49" fontId="14" fillId="6" borderId="66" xfId="0" applyNumberFormat="1" applyFont="1" applyFill="1" applyBorder="1" applyAlignment="1">
      <alignment horizontal="right" vertical="center"/>
    </xf>
    <xf numFmtId="49" fontId="14" fillId="6" borderId="69" xfId="0" applyNumberFormat="1" applyFont="1" applyFill="1" applyBorder="1" applyAlignment="1">
      <alignment horizontal="right" vertical="center"/>
    </xf>
    <xf numFmtId="185" fontId="26" fillId="5" borderId="93" xfId="0" applyNumberFormat="1" applyFont="1" applyFill="1" applyBorder="1" applyAlignment="1">
      <alignment vertical="center"/>
    </xf>
    <xf numFmtId="0" fontId="7" fillId="5" borderId="0" xfId="0" applyFont="1" applyFill="1"/>
    <xf numFmtId="0" fontId="28" fillId="7" borderId="89" xfId="0" applyFont="1" applyFill="1" applyBorder="1" applyAlignment="1">
      <alignment horizontal="right" vertical="center" shrinkToFit="1"/>
    </xf>
    <xf numFmtId="0" fontId="28" fillId="7" borderId="90" xfId="0" applyFont="1" applyFill="1" applyBorder="1" applyAlignment="1">
      <alignment horizontal="right" vertical="center" shrinkToFit="1"/>
    </xf>
    <xf numFmtId="177" fontId="28" fillId="7" borderId="90" xfId="0" applyNumberFormat="1" applyFont="1" applyFill="1" applyBorder="1" applyAlignment="1">
      <alignment horizontal="right" vertical="center"/>
    </xf>
    <xf numFmtId="177" fontId="28" fillId="7" borderId="90" xfId="0" applyNumberFormat="1" applyFont="1" applyFill="1" applyBorder="1" applyAlignment="1">
      <alignment horizontal="right" vertical="center" shrinkToFit="1"/>
    </xf>
    <xf numFmtId="0" fontId="28" fillId="7" borderId="91" xfId="0" applyFont="1" applyFill="1" applyBorder="1" applyAlignment="1">
      <alignment horizontal="right" vertical="center" shrinkToFit="1"/>
    </xf>
    <xf numFmtId="56" fontId="26" fillId="5" borderId="56" xfId="0" applyNumberFormat="1" applyFont="1" applyFill="1" applyBorder="1" applyAlignment="1">
      <alignment horizontal="right"/>
    </xf>
    <xf numFmtId="0" fontId="26" fillId="5" borderId="56" xfId="0" applyFont="1" applyFill="1" applyBorder="1" applyAlignment="1">
      <alignment horizontal="right"/>
    </xf>
    <xf numFmtId="56" fontId="26" fillId="5" borderId="64" xfId="0" applyNumberFormat="1" applyFont="1" applyFill="1" applyBorder="1" applyAlignment="1">
      <alignment horizontal="right"/>
    </xf>
    <xf numFmtId="56" fontId="26" fillId="5" borderId="56" xfId="0" applyNumberFormat="1" applyFont="1" applyFill="1" applyBorder="1" applyAlignment="1">
      <alignment horizontal="right" vertical="center"/>
    </xf>
    <xf numFmtId="179" fontId="26" fillId="5" borderId="92" xfId="0" applyNumberFormat="1" applyFont="1" applyFill="1" applyBorder="1" applyAlignment="1">
      <alignment horizontal="right" vertical="center"/>
    </xf>
    <xf numFmtId="179" fontId="26" fillId="5" borderId="58" xfId="0" applyNumberFormat="1" applyFont="1" applyFill="1" applyBorder="1" applyAlignment="1">
      <alignment horizontal="right" vertical="center"/>
    </xf>
    <xf numFmtId="38" fontId="26" fillId="5" borderId="58" xfId="1" applyFont="1" applyFill="1" applyBorder="1" applyAlignment="1">
      <alignment horizontal="right" vertical="center"/>
    </xf>
    <xf numFmtId="182" fontId="26" fillId="5" borderId="58" xfId="1" applyNumberFormat="1" applyFont="1" applyFill="1" applyBorder="1" applyAlignment="1">
      <alignment horizontal="right" vertical="center"/>
    </xf>
    <xf numFmtId="177" fontId="26" fillId="5" borderId="58" xfId="1" applyNumberFormat="1" applyFont="1" applyFill="1" applyBorder="1" applyAlignment="1">
      <alignment horizontal="right" vertical="center"/>
    </xf>
    <xf numFmtId="38" fontId="26" fillId="5" borderId="58" xfId="1" applyNumberFormat="1" applyFont="1" applyFill="1" applyBorder="1" applyAlignment="1">
      <alignment horizontal="right" vertical="center"/>
    </xf>
    <xf numFmtId="179" fontId="26" fillId="5" borderId="58" xfId="1" applyNumberFormat="1" applyFont="1" applyFill="1" applyBorder="1" applyAlignment="1">
      <alignment horizontal="right" vertical="center"/>
    </xf>
    <xf numFmtId="56" fontId="26" fillId="5" borderId="58" xfId="0" applyNumberFormat="1" applyFont="1" applyFill="1" applyBorder="1" applyAlignment="1">
      <alignment horizontal="right" vertical="center"/>
    </xf>
    <xf numFmtId="183" fontId="26" fillId="5" borderId="58" xfId="0" applyNumberFormat="1" applyFont="1" applyFill="1" applyBorder="1" applyAlignment="1">
      <alignment horizontal="right" vertical="center"/>
    </xf>
    <xf numFmtId="184" fontId="30" fillId="5" borderId="58" xfId="1" applyNumberFormat="1" applyFont="1" applyFill="1" applyBorder="1" applyAlignment="1">
      <alignment vertical="center"/>
    </xf>
    <xf numFmtId="0" fontId="30" fillId="5" borderId="59" xfId="0" applyFont="1" applyFill="1" applyBorder="1" applyAlignment="1">
      <alignment vertical="center"/>
    </xf>
    <xf numFmtId="179" fontId="26" fillId="5" borderId="55" xfId="0" applyNumberFormat="1" applyFont="1" applyFill="1" applyBorder="1" applyAlignment="1">
      <alignment horizontal="right" vertical="center"/>
    </xf>
    <xf numFmtId="179" fontId="26" fillId="5" borderId="56" xfId="0" applyNumberFormat="1" applyFont="1" applyFill="1" applyBorder="1" applyAlignment="1">
      <alignment horizontal="right" vertical="center"/>
    </xf>
    <xf numFmtId="38" fontId="26" fillId="5" borderId="56" xfId="1" applyFont="1" applyFill="1" applyBorder="1" applyAlignment="1">
      <alignment horizontal="right" vertical="center"/>
    </xf>
    <xf numFmtId="182" fontId="26" fillId="5" borderId="56" xfId="1" applyNumberFormat="1" applyFont="1" applyFill="1" applyBorder="1" applyAlignment="1">
      <alignment horizontal="right" vertical="center"/>
    </xf>
    <xf numFmtId="177" fontId="26" fillId="5" borderId="56" xfId="1" applyNumberFormat="1" applyFont="1" applyFill="1" applyBorder="1" applyAlignment="1">
      <alignment horizontal="right" vertical="center"/>
    </xf>
    <xf numFmtId="179" fontId="26" fillId="5" borderId="56" xfId="1" applyNumberFormat="1" applyFont="1" applyFill="1" applyBorder="1" applyAlignment="1">
      <alignment horizontal="right" vertical="center"/>
    </xf>
    <xf numFmtId="183" fontId="26" fillId="5" borderId="56" xfId="0" applyNumberFormat="1" applyFont="1" applyFill="1" applyBorder="1" applyAlignment="1">
      <alignment horizontal="right" vertical="center"/>
    </xf>
    <xf numFmtId="184" fontId="30" fillId="5" borderId="56" xfId="1" applyNumberFormat="1" applyFont="1" applyFill="1" applyBorder="1" applyAlignment="1">
      <alignment vertical="center"/>
    </xf>
    <xf numFmtId="0" fontId="30" fillId="5" borderId="57" xfId="0" applyFont="1" applyFill="1" applyBorder="1" applyAlignment="1">
      <alignment vertical="center"/>
    </xf>
    <xf numFmtId="185" fontId="30" fillId="5" borderId="57" xfId="0" applyNumberFormat="1" applyFont="1" applyFill="1" applyBorder="1" applyAlignment="1">
      <alignment vertical="center"/>
    </xf>
    <xf numFmtId="179" fontId="26" fillId="5" borderId="66" xfId="0" applyNumberFormat="1" applyFont="1" applyFill="1" applyBorder="1" applyAlignment="1">
      <alignment horizontal="right" vertical="center"/>
    </xf>
    <xf numFmtId="179" fontId="26" fillId="5" borderId="67" xfId="0" applyNumberFormat="1" applyFont="1" applyFill="1" applyBorder="1" applyAlignment="1">
      <alignment horizontal="right" vertical="center"/>
    </xf>
    <xf numFmtId="38" fontId="26" fillId="5" borderId="67" xfId="1" applyFont="1" applyFill="1" applyBorder="1" applyAlignment="1">
      <alignment horizontal="right" vertical="center"/>
    </xf>
    <xf numFmtId="182" fontId="26" fillId="5" borderId="67" xfId="1" applyNumberFormat="1" applyFont="1" applyFill="1" applyBorder="1" applyAlignment="1">
      <alignment horizontal="right" vertical="center"/>
    </xf>
    <xf numFmtId="179" fontId="26" fillId="5" borderId="67" xfId="1" applyNumberFormat="1" applyFont="1" applyFill="1" applyBorder="1" applyAlignment="1">
      <alignment horizontal="right" vertical="center"/>
    </xf>
    <xf numFmtId="177" fontId="26" fillId="5" borderId="67" xfId="1" applyNumberFormat="1" applyFont="1" applyFill="1" applyBorder="1" applyAlignment="1">
      <alignment horizontal="right" vertical="center"/>
    </xf>
    <xf numFmtId="56" fontId="26" fillId="5" borderId="67" xfId="0" applyNumberFormat="1" applyFont="1" applyFill="1" applyBorder="1" applyAlignment="1">
      <alignment horizontal="right" vertical="center"/>
    </xf>
    <xf numFmtId="183" fontId="26" fillId="5" borderId="67" xfId="0" applyNumberFormat="1" applyFont="1" applyFill="1" applyBorder="1" applyAlignment="1">
      <alignment horizontal="right" vertical="center"/>
    </xf>
    <xf numFmtId="184" fontId="30" fillId="5" borderId="67" xfId="1" applyNumberFormat="1" applyFont="1" applyFill="1" applyBorder="1" applyAlignment="1">
      <alignment vertical="center"/>
    </xf>
    <xf numFmtId="185" fontId="30" fillId="5" borderId="68" xfId="0" applyNumberFormat="1" applyFont="1" applyFill="1" applyBorder="1" applyAlignment="1">
      <alignment vertical="center"/>
    </xf>
    <xf numFmtId="179" fontId="26" fillId="5" borderId="69" xfId="0" applyNumberFormat="1" applyFont="1" applyFill="1" applyBorder="1" applyAlignment="1">
      <alignment horizontal="right" vertical="center"/>
    </xf>
    <xf numFmtId="179" fontId="26" fillId="5" borderId="64" xfId="0" applyNumberFormat="1" applyFont="1" applyFill="1" applyBorder="1" applyAlignment="1">
      <alignment horizontal="right" vertical="center"/>
    </xf>
    <xf numFmtId="38" fontId="26" fillId="5" borderId="64" xfId="1" applyFont="1" applyFill="1" applyBorder="1" applyAlignment="1">
      <alignment horizontal="right" vertical="center"/>
    </xf>
    <xf numFmtId="182" fontId="26" fillId="5" borderId="64" xfId="1" applyNumberFormat="1" applyFont="1" applyFill="1" applyBorder="1" applyAlignment="1">
      <alignment horizontal="right" vertical="center"/>
    </xf>
    <xf numFmtId="179" fontId="26" fillId="5" borderId="64" xfId="1" applyNumberFormat="1" applyFont="1" applyFill="1" applyBorder="1" applyAlignment="1">
      <alignment horizontal="right" vertical="center"/>
    </xf>
    <xf numFmtId="177" fontId="26" fillId="5" borderId="64" xfId="1" applyNumberFormat="1" applyFont="1" applyFill="1" applyBorder="1" applyAlignment="1">
      <alignment horizontal="right" vertical="center"/>
    </xf>
    <xf numFmtId="56" fontId="26" fillId="5" borderId="64" xfId="0" applyNumberFormat="1" applyFont="1" applyFill="1" applyBorder="1" applyAlignment="1">
      <alignment horizontal="right" vertical="center"/>
    </xf>
    <xf numFmtId="183" fontId="26" fillId="5" borderId="64" xfId="0" applyNumberFormat="1" applyFont="1" applyFill="1" applyBorder="1" applyAlignment="1">
      <alignment horizontal="right" vertical="center"/>
    </xf>
    <xf numFmtId="184" fontId="30" fillId="5" borderId="64" xfId="1" applyNumberFormat="1" applyFont="1" applyFill="1" applyBorder="1" applyAlignment="1">
      <alignment vertical="center"/>
    </xf>
    <xf numFmtId="185" fontId="30" fillId="5" borderId="65" xfId="0" applyNumberFormat="1" applyFont="1" applyFill="1" applyBorder="1" applyAlignment="1">
      <alignment vertical="center"/>
    </xf>
    <xf numFmtId="0" fontId="26" fillId="5" borderId="56" xfId="0" applyFont="1" applyFill="1" applyBorder="1" applyAlignment="1">
      <alignment horizontal="right" vertical="center"/>
    </xf>
    <xf numFmtId="177" fontId="26" fillId="5" borderId="56" xfId="0" applyNumberFormat="1" applyFont="1" applyFill="1" applyBorder="1" applyAlignment="1">
      <alignment horizontal="right" vertical="center"/>
    </xf>
    <xf numFmtId="183" fontId="30" fillId="5" borderId="56" xfId="0" applyNumberFormat="1" applyFont="1" applyFill="1" applyBorder="1" applyAlignment="1">
      <alignment vertical="center"/>
    </xf>
    <xf numFmtId="188" fontId="26" fillId="5" borderId="55" xfId="0" applyNumberFormat="1" applyFont="1" applyFill="1" applyBorder="1" applyAlignment="1">
      <alignment horizontal="right" vertical="center"/>
    </xf>
    <xf numFmtId="188" fontId="26" fillId="5" borderId="56" xfId="0" applyNumberFormat="1" applyFont="1" applyFill="1" applyBorder="1" applyAlignment="1">
      <alignment horizontal="right" vertical="center"/>
    </xf>
    <xf numFmtId="185" fontId="26" fillId="5" borderId="57" xfId="0" applyNumberFormat="1" applyFont="1" applyFill="1" applyBorder="1" applyAlignment="1">
      <alignment vertical="center"/>
    </xf>
    <xf numFmtId="0" fontId="31" fillId="5" borderId="0" xfId="0" applyFont="1" applyFill="1" applyAlignment="1">
      <alignment horizontal="left" vertical="center"/>
    </xf>
    <xf numFmtId="0" fontId="32" fillId="5" borderId="0" xfId="0" applyFont="1" applyFill="1" applyAlignment="1">
      <alignment horizontal="centerContinuous" vertical="center"/>
    </xf>
    <xf numFmtId="189" fontId="32" fillId="5" borderId="0" xfId="0" applyNumberFormat="1" applyFont="1" applyFill="1" applyAlignment="1">
      <alignment horizontal="centerContinuous" vertical="center"/>
    </xf>
    <xf numFmtId="0" fontId="32" fillId="5" borderId="0" xfId="0" applyFont="1" applyFill="1" applyAlignment="1">
      <alignment horizontal="left" vertical="center"/>
    </xf>
    <xf numFmtId="0" fontId="13" fillId="5" borderId="0" xfId="0" applyFont="1" applyFill="1" applyAlignment="1">
      <alignment horizontal="right" vertical="center"/>
    </xf>
    <xf numFmtId="193" fontId="26" fillId="5" borderId="92" xfId="0" applyNumberFormat="1" applyFont="1" applyFill="1" applyBorder="1" applyAlignment="1">
      <alignment vertical="center"/>
    </xf>
    <xf numFmtId="189" fontId="26" fillId="5" borderId="58" xfId="0" applyNumberFormat="1" applyFont="1" applyFill="1" applyBorder="1" applyAlignment="1">
      <alignment vertical="center"/>
    </xf>
    <xf numFmtId="193" fontId="26" fillId="5" borderId="58" xfId="0" applyNumberFormat="1" applyFont="1" applyFill="1" applyBorder="1" applyAlignment="1">
      <alignment vertical="center"/>
    </xf>
    <xf numFmtId="193" fontId="26" fillId="5" borderId="59" xfId="0" applyNumberFormat="1" applyFont="1" applyFill="1" applyBorder="1" applyAlignment="1">
      <alignment vertical="center"/>
    </xf>
    <xf numFmtId="193" fontId="26" fillId="5" borderId="94" xfId="0" applyNumberFormat="1" applyFont="1" applyFill="1" applyBorder="1" applyAlignment="1">
      <alignment vertical="center"/>
    </xf>
    <xf numFmtId="189" fontId="26" fillId="5" borderId="56" xfId="0" applyNumberFormat="1" applyFont="1" applyFill="1" applyBorder="1" applyAlignment="1">
      <alignment vertical="center"/>
    </xf>
    <xf numFmtId="193" fontId="26" fillId="5" borderId="56" xfId="0" applyNumberFormat="1" applyFont="1" applyFill="1" applyBorder="1" applyAlignment="1">
      <alignment vertical="center"/>
    </xf>
    <xf numFmtId="193" fontId="26" fillId="5" borderId="57" xfId="0" applyNumberFormat="1" applyFont="1" applyFill="1" applyBorder="1" applyAlignment="1">
      <alignment vertical="center"/>
    </xf>
    <xf numFmtId="189" fontId="26" fillId="5" borderId="67" xfId="0" applyNumberFormat="1" applyFont="1" applyFill="1" applyBorder="1" applyAlignment="1">
      <alignment vertical="center"/>
    </xf>
    <xf numFmtId="193" fontId="26" fillId="5" borderId="67" xfId="0" applyNumberFormat="1" applyFont="1" applyFill="1" applyBorder="1" applyAlignment="1">
      <alignment vertical="center"/>
    </xf>
    <xf numFmtId="193" fontId="26" fillId="5" borderId="68" xfId="0" applyNumberFormat="1" applyFont="1" applyFill="1" applyBorder="1" applyAlignment="1">
      <alignment vertical="center"/>
    </xf>
    <xf numFmtId="193" fontId="26" fillId="5" borderId="69" xfId="0" applyNumberFormat="1" applyFont="1" applyFill="1" applyBorder="1" applyAlignment="1">
      <alignment vertical="center"/>
    </xf>
    <xf numFmtId="189" fontId="26" fillId="5" borderId="64" xfId="0" applyNumberFormat="1" applyFont="1" applyFill="1" applyBorder="1" applyAlignment="1">
      <alignment vertical="center"/>
    </xf>
    <xf numFmtId="193" fontId="26" fillId="5" borderId="64" xfId="0" applyNumberFormat="1" applyFont="1" applyFill="1" applyBorder="1" applyAlignment="1">
      <alignment vertical="center"/>
    </xf>
    <xf numFmtId="193" fontId="26" fillId="5" borderId="65" xfId="0" applyNumberFormat="1" applyFont="1" applyFill="1" applyBorder="1" applyAlignment="1">
      <alignment vertical="center"/>
    </xf>
    <xf numFmtId="189" fontId="26" fillId="5" borderId="93" xfId="0" applyNumberFormat="1" applyFont="1" applyFill="1" applyBorder="1" applyAlignment="1">
      <alignment vertical="center"/>
    </xf>
    <xf numFmtId="193" fontId="26" fillId="5" borderId="0" xfId="0" applyNumberFormat="1" applyFont="1" applyFill="1" applyBorder="1" applyAlignment="1">
      <alignment vertical="center"/>
    </xf>
    <xf numFmtId="189" fontId="26" fillId="5" borderId="0" xfId="0" applyNumberFormat="1" applyFont="1" applyFill="1" applyBorder="1" applyAlignment="1">
      <alignment vertical="center"/>
    </xf>
    <xf numFmtId="0" fontId="13" fillId="5" borderId="0" xfId="0" applyNumberFormat="1" applyFont="1" applyFill="1" applyBorder="1" applyAlignment="1">
      <alignment vertical="center"/>
    </xf>
    <xf numFmtId="188" fontId="13" fillId="5" borderId="0" xfId="0" applyNumberFormat="1" applyFont="1" applyFill="1" applyBorder="1" applyAlignment="1">
      <alignment vertical="center"/>
    </xf>
    <xf numFmtId="189" fontId="13" fillId="5" borderId="0" xfId="0" applyNumberFormat="1" applyFont="1" applyFill="1" applyBorder="1" applyAlignment="1">
      <alignment vertical="center"/>
    </xf>
    <xf numFmtId="0" fontId="32" fillId="5" borderId="0" xfId="0" applyFont="1" applyFill="1"/>
    <xf numFmtId="49" fontId="13" fillId="5" borderId="0" xfId="0" applyNumberFormat="1" applyFont="1" applyFill="1"/>
    <xf numFmtId="189" fontId="13" fillId="5" borderId="0" xfId="0" applyNumberFormat="1" applyFont="1" applyFill="1"/>
    <xf numFmtId="0" fontId="13" fillId="5" borderId="0" xfId="0" applyFont="1" applyFill="1" applyAlignment="1">
      <alignment horizontal="left" vertical="center"/>
    </xf>
    <xf numFmtId="189" fontId="13" fillId="5" borderId="0" xfId="0" applyNumberFormat="1" applyFont="1" applyFill="1" applyAlignment="1">
      <alignment horizontal="left" vertical="center"/>
    </xf>
    <xf numFmtId="0" fontId="13" fillId="5" borderId="0" xfId="0" applyFont="1" applyFill="1" applyAlignment="1"/>
    <xf numFmtId="189" fontId="13" fillId="5" borderId="0" xfId="0" applyNumberFormat="1" applyFont="1" applyFill="1" applyAlignment="1"/>
    <xf numFmtId="0" fontId="13" fillId="5" borderId="0" xfId="0" applyFont="1" applyFill="1" applyAlignment="1">
      <alignment horizontal="left"/>
    </xf>
    <xf numFmtId="189" fontId="13" fillId="5" borderId="0" xfId="0" applyNumberFormat="1" applyFont="1" applyFill="1" applyAlignment="1">
      <alignment horizontal="left"/>
    </xf>
    <xf numFmtId="0" fontId="13" fillId="5" borderId="0" xfId="0" applyFont="1" applyFill="1" applyAlignment="1">
      <alignment horizontal="left" wrapText="1"/>
    </xf>
    <xf numFmtId="189" fontId="13" fillId="5" borderId="0" xfId="0" applyNumberFormat="1" applyFont="1" applyFill="1" applyAlignment="1">
      <alignment horizontal="left" wrapText="1"/>
    </xf>
    <xf numFmtId="189" fontId="32" fillId="5" borderId="0" xfId="0" applyNumberFormat="1" applyFont="1" applyFill="1"/>
    <xf numFmtId="0" fontId="33" fillId="5" borderId="0" xfId="0" applyFont="1" applyFill="1"/>
    <xf numFmtId="49" fontId="14" fillId="5" borderId="0" xfId="0" applyNumberFormat="1" applyFont="1" applyFill="1" applyBorder="1" applyAlignment="1">
      <alignment horizontal="right" vertical="center"/>
    </xf>
    <xf numFmtId="0" fontId="25" fillId="5" borderId="0" xfId="0" applyFont="1" applyFill="1"/>
    <xf numFmtId="0" fontId="25" fillId="5" borderId="0" xfId="0" applyFont="1" applyFill="1" applyAlignment="1">
      <alignment horizontal="centerContinuous" vertical="center"/>
    </xf>
    <xf numFmtId="0" fontId="14" fillId="5" borderId="0" xfId="0" applyFont="1" applyFill="1" applyAlignment="1">
      <alignment vertical="center"/>
    </xf>
    <xf numFmtId="49" fontId="14" fillId="5" borderId="0" xfId="0" applyNumberFormat="1" applyFont="1" applyFill="1" applyAlignment="1">
      <alignment horizontal="right"/>
    </xf>
    <xf numFmtId="49" fontId="14" fillId="5" borderId="0" xfId="0" applyNumberFormat="1" applyFont="1" applyFill="1" applyAlignment="1"/>
    <xf numFmtId="189" fontId="26" fillId="5" borderId="98" xfId="0" applyNumberFormat="1" applyFont="1" applyFill="1" applyBorder="1" applyAlignment="1">
      <alignment vertical="center"/>
    </xf>
    <xf numFmtId="0" fontId="14" fillId="5" borderId="0" xfId="0" applyFont="1" applyFill="1" applyAlignment="1"/>
    <xf numFmtId="49" fontId="14" fillId="5" borderId="0" xfId="0" applyNumberFormat="1" applyFont="1" applyFill="1"/>
    <xf numFmtId="189" fontId="26" fillId="5" borderId="103" xfId="0" applyNumberFormat="1" applyFont="1" applyFill="1" applyBorder="1"/>
    <xf numFmtId="189" fontId="26" fillId="5" borderId="36" xfId="0" applyNumberFormat="1" applyFont="1" applyFill="1" applyBorder="1"/>
    <xf numFmtId="189" fontId="26" fillId="5" borderId="37" xfId="0" applyNumberFormat="1" applyFont="1" applyFill="1" applyBorder="1"/>
    <xf numFmtId="189" fontId="26" fillId="5" borderId="51" xfId="0" applyNumberFormat="1" applyFont="1" applyFill="1" applyBorder="1"/>
    <xf numFmtId="189" fontId="26" fillId="5" borderId="32" xfId="0" applyNumberFormat="1" applyFont="1" applyFill="1" applyBorder="1"/>
    <xf numFmtId="189" fontId="26" fillId="5" borderId="34" xfId="0" applyNumberFormat="1" applyFont="1" applyFill="1" applyBorder="1"/>
    <xf numFmtId="192" fontId="14" fillId="5" borderId="0" xfId="0" applyNumberFormat="1" applyFont="1" applyFill="1" applyBorder="1"/>
    <xf numFmtId="189" fontId="26" fillId="5" borderId="52" xfId="0" applyNumberFormat="1" applyFont="1" applyFill="1" applyBorder="1"/>
    <xf numFmtId="189" fontId="26" fillId="5" borderId="33" xfId="0" applyNumberFormat="1" applyFont="1" applyFill="1" applyBorder="1"/>
    <xf numFmtId="189" fontId="26" fillId="5" borderId="35" xfId="0" applyNumberFormat="1" applyFont="1" applyFill="1" applyBorder="1"/>
    <xf numFmtId="0" fontId="14" fillId="5" borderId="0" xfId="0" applyFont="1" applyFill="1" applyBorder="1"/>
    <xf numFmtId="0" fontId="14" fillId="5" borderId="0" xfId="0" applyFont="1" applyFill="1" applyBorder="1" applyAlignment="1">
      <alignment horizontal="center"/>
    </xf>
    <xf numFmtId="189" fontId="26" fillId="5" borderId="0" xfId="0" applyNumberFormat="1" applyFont="1" applyFill="1" applyBorder="1"/>
    <xf numFmtId="192" fontId="13" fillId="5" borderId="0" xfId="0" applyNumberFormat="1" applyFont="1" applyFill="1" applyBorder="1" applyAlignment="1">
      <alignment vertical="center"/>
    </xf>
    <xf numFmtId="192" fontId="13" fillId="5" borderId="0" xfId="0" applyNumberFormat="1" applyFont="1" applyFill="1" applyBorder="1"/>
    <xf numFmtId="0" fontId="13" fillId="5" borderId="0" xfId="0" applyFont="1" applyFill="1" applyBorder="1"/>
    <xf numFmtId="0" fontId="13" fillId="5" borderId="0" xfId="0" applyFont="1" applyFill="1" applyAlignment="1">
      <alignment vertical="center"/>
    </xf>
    <xf numFmtId="0" fontId="13" fillId="5" borderId="0" xfId="0" applyFont="1" applyFill="1" applyAlignment="1">
      <alignment vertical="center" wrapText="1"/>
    </xf>
    <xf numFmtId="189" fontId="26" fillId="5" borderId="107" xfId="0" applyNumberFormat="1" applyFont="1" applyFill="1" applyBorder="1" applyAlignment="1">
      <alignment vertical="center"/>
    </xf>
    <xf numFmtId="189" fontId="26" fillId="5" borderId="58" xfId="0" applyNumberFormat="1" applyFont="1" applyFill="1" applyBorder="1"/>
    <xf numFmtId="189" fontId="26" fillId="5" borderId="59" xfId="0" applyNumberFormat="1" applyFont="1" applyFill="1" applyBorder="1"/>
    <xf numFmtId="189" fontId="26" fillId="5" borderId="56" xfId="0" applyNumberFormat="1" applyFont="1" applyFill="1" applyBorder="1"/>
    <xf numFmtId="189" fontId="26" fillId="5" borderId="57" xfId="0" applyNumberFormat="1" applyFont="1" applyFill="1" applyBorder="1"/>
    <xf numFmtId="189" fontId="26" fillId="5" borderId="64" xfId="0" applyNumberFormat="1" applyFont="1" applyFill="1" applyBorder="1"/>
    <xf numFmtId="189" fontId="26" fillId="5" borderId="65" xfId="0" applyNumberFormat="1" applyFont="1" applyFill="1" applyBorder="1"/>
    <xf numFmtId="189" fontId="26" fillId="5" borderId="108" xfId="0" applyNumberFormat="1" applyFont="1" applyFill="1" applyBorder="1" applyAlignment="1">
      <alignment vertical="center"/>
    </xf>
    <xf numFmtId="189" fontId="26" fillId="5" borderId="109" xfId="0" applyNumberFormat="1" applyFont="1" applyFill="1" applyBorder="1" applyAlignment="1">
      <alignment vertical="center"/>
    </xf>
    <xf numFmtId="189" fontId="26" fillId="5" borderId="67" xfId="0" applyNumberFormat="1" applyFont="1" applyFill="1" applyBorder="1"/>
    <xf numFmtId="189" fontId="26" fillId="5" borderId="68" xfId="0" applyNumberFormat="1" applyFont="1" applyFill="1" applyBorder="1"/>
    <xf numFmtId="0" fontId="16" fillId="5" borderId="0" xfId="0" applyFont="1" applyFill="1"/>
    <xf numFmtId="0" fontId="34" fillId="5" borderId="0" xfId="0" applyFont="1" applyFill="1" applyAlignment="1">
      <alignment vertical="center"/>
    </xf>
    <xf numFmtId="49" fontId="35" fillId="5" borderId="0" xfId="0" applyNumberFormat="1" applyFont="1" applyFill="1" applyAlignment="1">
      <alignment horizontal="left" vertical="center"/>
    </xf>
    <xf numFmtId="0" fontId="36" fillId="5" borderId="0" xfId="0" applyFont="1" applyFill="1" applyAlignment="1">
      <alignment vertical="center"/>
    </xf>
    <xf numFmtId="195" fontId="36" fillId="5" borderId="0" xfId="0" applyNumberFormat="1" applyFont="1" applyFill="1" applyAlignment="1">
      <alignment vertical="center"/>
    </xf>
    <xf numFmtId="0" fontId="27" fillId="7" borderId="86" xfId="0" applyFont="1" applyFill="1" applyBorder="1" applyAlignment="1">
      <alignment horizontal="center" vertical="center"/>
    </xf>
    <xf numFmtId="0" fontId="27" fillId="7" borderId="85" xfId="0" applyFont="1" applyFill="1" applyBorder="1" applyAlignment="1">
      <alignment horizontal="center" vertical="center"/>
    </xf>
    <xf numFmtId="0" fontId="27" fillId="7" borderId="82" xfId="0" applyFont="1" applyFill="1" applyBorder="1" applyAlignment="1">
      <alignment horizontal="center" vertical="center"/>
    </xf>
    <xf numFmtId="0" fontId="27" fillId="7" borderId="83" xfId="0" applyFont="1" applyFill="1" applyBorder="1" applyAlignment="1">
      <alignment horizontal="center" vertical="center"/>
    </xf>
    <xf numFmtId="0" fontId="27" fillId="7" borderId="84" xfId="0" applyFont="1" applyFill="1" applyBorder="1" applyAlignment="1">
      <alignment horizontal="center" vertical="center"/>
    </xf>
    <xf numFmtId="185" fontId="18" fillId="5" borderId="67" xfId="0" applyNumberFormat="1" applyFont="1" applyFill="1" applyBorder="1"/>
    <xf numFmtId="49" fontId="15" fillId="6" borderId="55" xfId="0" applyNumberFormat="1" applyFont="1" applyFill="1" applyBorder="1" applyAlignment="1">
      <alignment horizontal="right" vertical="center"/>
    </xf>
    <xf numFmtId="49" fontId="15" fillId="6" borderId="79" xfId="0" applyNumberFormat="1" applyFont="1" applyFill="1" applyBorder="1" applyAlignment="1">
      <alignment horizontal="right" vertical="center"/>
    </xf>
    <xf numFmtId="49" fontId="15" fillId="6" borderId="69" xfId="0" applyNumberFormat="1" applyFont="1" applyFill="1" applyBorder="1" applyAlignment="1">
      <alignment horizontal="right" vertical="center"/>
    </xf>
    <xf numFmtId="49" fontId="15" fillId="6" borderId="63" xfId="0" applyNumberFormat="1" applyFont="1" applyFill="1" applyBorder="1" applyAlignment="1">
      <alignment horizontal="right" vertical="center"/>
    </xf>
    <xf numFmtId="49" fontId="15" fillId="6" borderId="66" xfId="0" applyNumberFormat="1" applyFont="1" applyFill="1" applyBorder="1" applyAlignment="1">
      <alignment horizontal="right" vertical="center"/>
    </xf>
    <xf numFmtId="49" fontId="15" fillId="6" borderId="62" xfId="0" applyNumberFormat="1" applyFont="1" applyFill="1" applyBorder="1" applyAlignment="1">
      <alignment horizontal="right" vertical="center"/>
    </xf>
    <xf numFmtId="49" fontId="15" fillId="6" borderId="108" xfId="0" applyNumberFormat="1" applyFont="1" applyFill="1" applyBorder="1" applyAlignment="1">
      <alignment horizontal="right" vertical="center"/>
    </xf>
    <xf numFmtId="49" fontId="15" fillId="6" borderId="94" xfId="0" applyNumberFormat="1" applyFont="1" applyFill="1" applyBorder="1" applyAlignment="1">
      <alignment horizontal="right" vertical="center"/>
    </xf>
    <xf numFmtId="49" fontId="14" fillId="6" borderId="54" xfId="0" applyNumberFormat="1" applyFont="1" applyFill="1" applyBorder="1" applyAlignment="1">
      <alignment horizontal="right" vertical="center"/>
    </xf>
    <xf numFmtId="49" fontId="14" fillId="6" borderId="80" xfId="0" applyNumberFormat="1" applyFont="1" applyFill="1" applyBorder="1" applyAlignment="1">
      <alignment horizontal="right" vertical="center"/>
    </xf>
    <xf numFmtId="49" fontId="14" fillId="6" borderId="79" xfId="0" applyNumberFormat="1" applyFont="1" applyFill="1" applyBorder="1" applyAlignment="1">
      <alignment horizontal="right" vertical="center"/>
    </xf>
    <xf numFmtId="49" fontId="14" fillId="6" borderId="63" xfId="0" applyNumberFormat="1" applyFont="1" applyFill="1" applyBorder="1" applyAlignment="1">
      <alignment horizontal="right" vertical="center"/>
    </xf>
    <xf numFmtId="49" fontId="14" fillId="6" borderId="62" xfId="0" applyNumberFormat="1" applyFont="1" applyFill="1" applyBorder="1" applyAlignment="1">
      <alignment horizontal="right" vertical="center"/>
    </xf>
    <xf numFmtId="49" fontId="14" fillId="6" borderId="94" xfId="0" applyNumberFormat="1" applyFont="1" applyFill="1" applyBorder="1" applyAlignment="1">
      <alignment horizontal="right" vertical="center"/>
    </xf>
    <xf numFmtId="49" fontId="14" fillId="6" borderId="88" xfId="0" applyNumberFormat="1" applyFont="1" applyFill="1" applyBorder="1" applyAlignment="1">
      <alignment horizontal="right" vertical="center"/>
    </xf>
    <xf numFmtId="49" fontId="14" fillId="6" borderId="112" xfId="0" applyNumberFormat="1" applyFont="1" applyFill="1" applyBorder="1" applyAlignment="1">
      <alignment horizontal="right" vertical="center"/>
    </xf>
    <xf numFmtId="0" fontId="17" fillId="6" borderId="41" xfId="0" applyFont="1" applyFill="1" applyBorder="1" applyAlignment="1">
      <alignment horizontal="centerContinuous" vertical="center"/>
    </xf>
    <xf numFmtId="0" fontId="17" fillId="6" borderId="43" xfId="0" applyFont="1" applyFill="1" applyBorder="1" applyAlignment="1">
      <alignment horizontal="centerContinuous" vertical="center"/>
    </xf>
    <xf numFmtId="49" fontId="14" fillId="6" borderId="57" xfId="0" applyNumberFormat="1" applyFont="1" applyFill="1" applyBorder="1" applyAlignment="1">
      <alignment horizontal="right" vertical="center"/>
    </xf>
    <xf numFmtId="49" fontId="14" fillId="6" borderId="65" xfId="0" applyNumberFormat="1" applyFont="1" applyFill="1" applyBorder="1" applyAlignment="1">
      <alignment horizontal="right" vertical="center"/>
    </xf>
    <xf numFmtId="49" fontId="14" fillId="6" borderId="68" xfId="0" applyNumberFormat="1" applyFont="1" applyFill="1" applyBorder="1" applyAlignment="1">
      <alignment horizontal="right" vertical="center"/>
    </xf>
    <xf numFmtId="178" fontId="14" fillId="6" borderId="74" xfId="0" applyNumberFormat="1" applyFont="1" applyFill="1" applyBorder="1" applyAlignment="1" applyProtection="1">
      <alignment horizontal="right" vertical="center"/>
      <protection locked="0"/>
    </xf>
    <xf numFmtId="0" fontId="14" fillId="6" borderId="75" xfId="0" applyNumberFormat="1" applyFont="1" applyFill="1" applyBorder="1" applyAlignment="1" applyProtection="1">
      <alignment horizontal="right" vertical="center"/>
      <protection locked="0"/>
    </xf>
    <xf numFmtId="178" fontId="14" fillId="6" borderId="76" xfId="0" applyNumberFormat="1" applyFont="1" applyFill="1" applyBorder="1" applyAlignment="1" applyProtection="1">
      <alignment horizontal="right" vertical="center"/>
      <protection locked="0"/>
    </xf>
    <xf numFmtId="0" fontId="14" fillId="6" borderId="73" xfId="0" applyNumberFormat="1" applyFont="1" applyFill="1" applyBorder="1" applyAlignment="1" applyProtection="1">
      <alignment horizontal="right" vertical="center"/>
      <protection locked="0"/>
    </xf>
    <xf numFmtId="178" fontId="14" fillId="6" borderId="75" xfId="0" applyNumberFormat="1" applyFont="1" applyFill="1" applyBorder="1" applyAlignment="1" applyProtection="1">
      <alignment horizontal="right" vertical="center"/>
      <protection locked="0"/>
    </xf>
    <xf numFmtId="178" fontId="14" fillId="6" borderId="106" xfId="0" applyNumberFormat="1" applyFont="1" applyFill="1" applyBorder="1" applyAlignment="1" applyProtection="1">
      <alignment horizontal="right" vertical="center"/>
      <protection locked="0"/>
    </xf>
    <xf numFmtId="49" fontId="14" fillId="6" borderId="59" xfId="0" applyNumberFormat="1" applyFont="1" applyFill="1" applyBorder="1" applyAlignment="1">
      <alignment horizontal="right" vertical="center"/>
    </xf>
    <xf numFmtId="0" fontId="14" fillId="6" borderId="97" xfId="0" applyNumberFormat="1" applyFont="1" applyFill="1" applyBorder="1" applyAlignment="1" applyProtection="1">
      <alignment horizontal="right" vertical="center"/>
      <protection locked="0"/>
    </xf>
    <xf numFmtId="178" fontId="14" fillId="6" borderId="97" xfId="0" applyNumberFormat="1" applyFont="1" applyFill="1" applyBorder="1" applyAlignment="1" applyProtection="1">
      <alignment horizontal="right" vertical="center"/>
      <protection locked="0"/>
    </xf>
    <xf numFmtId="0" fontId="27" fillId="9" borderId="113" xfId="0" applyFont="1" applyFill="1" applyBorder="1" applyAlignment="1">
      <alignment horizontal="center"/>
    </xf>
    <xf numFmtId="0" fontId="27" fillId="9" borderId="114" xfId="0" applyFont="1" applyFill="1" applyBorder="1" applyAlignment="1">
      <alignment horizontal="center"/>
    </xf>
    <xf numFmtId="0" fontId="27" fillId="9" borderId="114" xfId="0" applyFont="1" applyFill="1" applyBorder="1" applyAlignment="1">
      <alignment horizontal="center" shrinkToFit="1"/>
    </xf>
    <xf numFmtId="0" fontId="27" fillId="9" borderId="115" xfId="0" applyFont="1" applyFill="1" applyBorder="1" applyAlignment="1">
      <alignment horizontal="center"/>
    </xf>
    <xf numFmtId="0" fontId="14" fillId="6" borderId="116" xfId="0" applyNumberFormat="1" applyFont="1" applyFill="1" applyBorder="1" applyAlignment="1" applyProtection="1">
      <alignment horizontal="right" vertical="center"/>
      <protection locked="0"/>
    </xf>
    <xf numFmtId="49" fontId="14" fillId="6" borderId="60" xfId="0" applyNumberFormat="1" applyFont="1" applyFill="1" applyBorder="1" applyAlignment="1">
      <alignment horizontal="right" vertical="center"/>
    </xf>
    <xf numFmtId="179" fontId="26" fillId="5" borderId="94" xfId="0" applyNumberFormat="1" applyFont="1" applyFill="1" applyBorder="1" applyAlignment="1">
      <alignment horizontal="right" vertical="center"/>
    </xf>
    <xf numFmtId="56" fontId="26" fillId="5" borderId="67" xfId="0" applyNumberFormat="1" applyFont="1" applyFill="1" applyBorder="1" applyAlignment="1">
      <alignment horizontal="right"/>
    </xf>
    <xf numFmtId="189" fontId="26" fillId="5" borderId="94" xfId="1" applyNumberFormat="1" applyFont="1" applyFill="1" applyBorder="1" applyAlignment="1">
      <alignment vertical="center"/>
    </xf>
    <xf numFmtId="189" fontId="26" fillId="5" borderId="56" xfId="1" applyNumberFormat="1" applyFont="1" applyFill="1" applyBorder="1" applyAlignment="1">
      <alignment horizontal="right"/>
    </xf>
    <xf numFmtId="189" fontId="26" fillId="5" borderId="56" xfId="1" applyNumberFormat="1" applyFont="1" applyFill="1" applyBorder="1"/>
    <xf numFmtId="189" fontId="26" fillId="5" borderId="56" xfId="1" applyNumberFormat="1" applyFont="1" applyFill="1" applyBorder="1" applyAlignment="1">
      <alignment vertical="center"/>
    </xf>
    <xf numFmtId="193" fontId="26" fillId="5" borderId="57" xfId="1" applyNumberFormat="1" applyFont="1" applyFill="1" applyBorder="1" applyAlignment="1">
      <alignment vertical="center"/>
    </xf>
    <xf numFmtId="189" fontId="26" fillId="5" borderId="107" xfId="1" applyNumberFormat="1" applyFont="1" applyFill="1" applyBorder="1" applyAlignment="1">
      <alignment vertical="center"/>
    </xf>
    <xf numFmtId="189" fontId="26" fillId="5" borderId="58" xfId="1" applyNumberFormat="1" applyFont="1" applyFill="1" applyBorder="1" applyAlignment="1">
      <alignment vertical="center"/>
    </xf>
    <xf numFmtId="189" fontId="26" fillId="5" borderId="58" xfId="1" applyNumberFormat="1" applyFont="1" applyFill="1" applyBorder="1"/>
    <xf numFmtId="193" fontId="26" fillId="5" borderId="58" xfId="0" quotePrefix="1" applyNumberFormat="1" applyFont="1" applyFill="1" applyBorder="1" applyAlignment="1">
      <alignment horizontal="right" vertical="center"/>
    </xf>
    <xf numFmtId="193" fontId="26" fillId="5" borderId="59" xfId="1" applyNumberFormat="1" applyFont="1" applyFill="1" applyBorder="1" applyAlignment="1">
      <alignment vertical="center"/>
    </xf>
    <xf numFmtId="193" fontId="26" fillId="5" borderId="56" xfId="0" quotePrefix="1" applyNumberFormat="1" applyFont="1" applyFill="1" applyBorder="1" applyAlignment="1">
      <alignment horizontal="right" vertical="center"/>
    </xf>
    <xf numFmtId="189" fontId="26" fillId="5" borderId="66" xfId="1" applyNumberFormat="1" applyFont="1" applyFill="1" applyBorder="1" applyAlignment="1">
      <alignment vertical="center"/>
    </xf>
    <xf numFmtId="189" fontId="26" fillId="5" borderId="67" xfId="1" applyNumberFormat="1" applyFont="1" applyFill="1" applyBorder="1" applyAlignment="1">
      <alignment vertical="center"/>
    </xf>
    <xf numFmtId="189" fontId="26" fillId="5" borderId="67" xfId="1" applyNumberFormat="1" applyFont="1" applyFill="1" applyBorder="1"/>
    <xf numFmtId="193" fontId="26" fillId="5" borderId="68" xfId="1" applyNumberFormat="1" applyFont="1" applyFill="1" applyBorder="1" applyAlignment="1">
      <alignment vertical="center"/>
    </xf>
    <xf numFmtId="189" fontId="26" fillId="5" borderId="109" xfId="1" applyNumberFormat="1" applyFont="1" applyFill="1" applyBorder="1" applyAlignment="1">
      <alignment vertical="center"/>
    </xf>
    <xf numFmtId="189" fontId="26" fillId="5" borderId="64" xfId="1" applyNumberFormat="1" applyFont="1" applyFill="1" applyBorder="1" applyAlignment="1">
      <alignment vertical="center"/>
    </xf>
    <xf numFmtId="189" fontId="26" fillId="5" borderId="64" xfId="1" applyNumberFormat="1" applyFont="1" applyFill="1" applyBorder="1"/>
    <xf numFmtId="193" fontId="26" fillId="5" borderId="65" xfId="1" applyNumberFormat="1" applyFont="1" applyFill="1" applyBorder="1" applyAlignment="1">
      <alignment vertical="center"/>
    </xf>
    <xf numFmtId="189" fontId="26" fillId="5" borderId="67" xfId="1" applyNumberFormat="1" applyFont="1" applyFill="1" applyBorder="1" applyAlignment="1">
      <alignment horizontal="right"/>
    </xf>
    <xf numFmtId="189" fontId="26" fillId="5" borderId="64" xfId="1" applyNumberFormat="1" applyFont="1" applyFill="1" applyBorder="1" applyAlignment="1">
      <alignment horizontal="right"/>
    </xf>
    <xf numFmtId="185" fontId="26" fillId="5" borderId="94" xfId="0" applyNumberFormat="1" applyFont="1" applyFill="1" applyBorder="1" applyAlignment="1">
      <alignment vertical="center"/>
    </xf>
    <xf numFmtId="184" fontId="26" fillId="5" borderId="56" xfId="1" applyNumberFormat="1" applyFont="1" applyFill="1" applyBorder="1" applyAlignment="1">
      <alignment vertical="center"/>
    </xf>
    <xf numFmtId="0" fontId="0" fillId="0" borderId="0" xfId="0" applyFont="1"/>
    <xf numFmtId="179" fontId="18" fillId="5" borderId="56" xfId="0" applyNumberFormat="1" applyFont="1" applyFill="1" applyBorder="1" applyAlignment="1">
      <alignment horizontal="right" vertical="center"/>
    </xf>
    <xf numFmtId="38" fontId="18" fillId="5" borderId="56" xfId="1" applyFont="1" applyFill="1" applyBorder="1" applyAlignment="1">
      <alignment horizontal="right" vertical="center"/>
    </xf>
    <xf numFmtId="179" fontId="18" fillId="5" borderId="56" xfId="1" applyNumberFormat="1" applyFont="1" applyFill="1" applyBorder="1" applyAlignment="1">
      <alignment horizontal="right" vertical="center"/>
    </xf>
    <xf numFmtId="185" fontId="26" fillId="5" borderId="118" xfId="0" applyNumberFormat="1" applyFont="1" applyFill="1" applyBorder="1" applyAlignment="1">
      <alignment vertical="center"/>
    </xf>
    <xf numFmtId="185" fontId="26" fillId="5" borderId="119" xfId="0" applyNumberFormat="1" applyFont="1" applyFill="1" applyBorder="1" applyAlignment="1">
      <alignment vertical="center"/>
    </xf>
    <xf numFmtId="185" fontId="26" fillId="5" borderId="68" xfId="0" applyNumberFormat="1" applyFont="1" applyFill="1" applyBorder="1" applyAlignment="1">
      <alignment vertical="center"/>
    </xf>
    <xf numFmtId="185" fontId="26" fillId="5" borderId="65" xfId="0" applyNumberFormat="1" applyFont="1" applyFill="1" applyBorder="1" applyAlignment="1">
      <alignment vertical="center"/>
    </xf>
    <xf numFmtId="49" fontId="14" fillId="6" borderId="98" xfId="0" applyNumberFormat="1" applyFont="1" applyFill="1" applyBorder="1" applyAlignment="1">
      <alignment horizontal="right" vertical="center"/>
    </xf>
    <xf numFmtId="49" fontId="14" fillId="6" borderId="121" xfId="0" applyNumberFormat="1" applyFont="1" applyFill="1" applyBorder="1" applyAlignment="1">
      <alignment horizontal="right" vertical="center"/>
    </xf>
    <xf numFmtId="49" fontId="14" fillId="6" borderId="122" xfId="0" applyNumberFormat="1" applyFont="1" applyFill="1" applyBorder="1" applyAlignment="1">
      <alignment horizontal="right" vertical="center"/>
    </xf>
    <xf numFmtId="179" fontId="26" fillId="5" borderId="123" xfId="0" applyNumberFormat="1" applyFont="1" applyFill="1" applyBorder="1" applyAlignment="1">
      <alignment horizontal="right" vertical="center"/>
    </xf>
    <xf numFmtId="38" fontId="26" fillId="5" borderId="123" xfId="1" applyFont="1" applyFill="1" applyBorder="1" applyAlignment="1">
      <alignment horizontal="right" vertical="center"/>
    </xf>
    <xf numFmtId="179" fontId="26" fillId="5" borderId="123" xfId="1" applyNumberFormat="1" applyFont="1" applyFill="1" applyBorder="1" applyAlignment="1">
      <alignment horizontal="right" vertical="center"/>
    </xf>
    <xf numFmtId="177" fontId="26" fillId="5" borderId="123" xfId="1" applyNumberFormat="1" applyFont="1" applyFill="1" applyBorder="1" applyAlignment="1">
      <alignment horizontal="right" vertical="center"/>
    </xf>
    <xf numFmtId="56" fontId="26" fillId="5" borderId="123" xfId="0" applyNumberFormat="1" applyFont="1" applyFill="1" applyBorder="1" applyAlignment="1">
      <alignment horizontal="right"/>
    </xf>
    <xf numFmtId="183" fontId="26" fillId="5" borderId="123" xfId="0" applyNumberFormat="1" applyFont="1" applyFill="1" applyBorder="1" applyAlignment="1">
      <alignment horizontal="right" vertical="center"/>
    </xf>
    <xf numFmtId="184" fontId="30" fillId="5" borderId="123" xfId="1" applyNumberFormat="1" applyFont="1" applyFill="1" applyBorder="1" applyAlignment="1">
      <alignment vertical="center"/>
    </xf>
    <xf numFmtId="185" fontId="30" fillId="5" borderId="122" xfId="0" applyNumberFormat="1" applyFont="1" applyFill="1" applyBorder="1" applyAlignment="1">
      <alignment vertical="center"/>
    </xf>
    <xf numFmtId="178" fontId="14" fillId="6" borderId="124" xfId="0" applyNumberFormat="1" applyFont="1" applyFill="1" applyBorder="1" applyAlignment="1" applyProtection="1">
      <alignment horizontal="right" vertical="center"/>
      <protection locked="0"/>
    </xf>
    <xf numFmtId="189" fontId="26" fillId="5" borderId="125" xfId="0" applyNumberFormat="1" applyFont="1" applyFill="1" applyBorder="1" applyAlignment="1">
      <alignment vertical="center"/>
    </xf>
    <xf numFmtId="189" fontId="26" fillId="5" borderId="123" xfId="0" applyNumberFormat="1" applyFont="1" applyFill="1" applyBorder="1" applyAlignment="1">
      <alignment vertical="center"/>
    </xf>
    <xf numFmtId="189" fontId="26" fillId="5" borderId="123" xfId="0" applyNumberFormat="1" applyFont="1" applyFill="1" applyBorder="1"/>
    <xf numFmtId="189" fontId="26" fillId="5" borderId="122" xfId="0" applyNumberFormat="1" applyFont="1" applyFill="1" applyBorder="1"/>
    <xf numFmtId="49" fontId="15" fillId="6" borderId="98" xfId="0" applyNumberFormat="1" applyFont="1" applyFill="1" applyBorder="1" applyAlignment="1">
      <alignment horizontal="right" vertical="center"/>
    </xf>
    <xf numFmtId="185" fontId="26" fillId="5" borderId="108" xfId="0" applyNumberFormat="1" applyFont="1" applyFill="1" applyBorder="1" applyAlignment="1">
      <alignment vertical="center"/>
    </xf>
    <xf numFmtId="0" fontId="14" fillId="6" borderId="126" xfId="0" applyNumberFormat="1" applyFont="1" applyFill="1" applyBorder="1" applyAlignment="1" applyProtection="1">
      <alignment horizontal="right" vertical="center"/>
      <protection locked="0"/>
    </xf>
    <xf numFmtId="49" fontId="14" fillId="6" borderId="127" xfId="0" applyNumberFormat="1" applyFont="1" applyFill="1" applyBorder="1" applyAlignment="1">
      <alignment horizontal="right" vertical="center"/>
    </xf>
    <xf numFmtId="193" fontId="26" fillId="5" borderId="123" xfId="0" applyNumberFormat="1" applyFont="1" applyFill="1" applyBorder="1" applyAlignment="1">
      <alignment vertical="center"/>
    </xf>
    <xf numFmtId="193" fontId="26" fillId="5" borderId="122" xfId="0" applyNumberFormat="1" applyFont="1" applyFill="1" applyBorder="1" applyAlignment="1">
      <alignment vertical="center"/>
    </xf>
    <xf numFmtId="189" fontId="26" fillId="5" borderId="108" xfId="1" applyNumberFormat="1" applyFont="1" applyFill="1" applyBorder="1" applyAlignment="1">
      <alignment vertical="center"/>
    </xf>
    <xf numFmtId="189" fontId="18" fillId="5" borderId="67" xfId="1" applyNumberFormat="1" applyFont="1" applyFill="1" applyBorder="1" applyAlignment="1">
      <alignment horizontal="right"/>
    </xf>
    <xf numFmtId="189" fontId="18" fillId="5" borderId="67" xfId="1" applyNumberFormat="1" applyFont="1" applyFill="1" applyBorder="1"/>
    <xf numFmtId="189" fontId="26" fillId="11" borderId="94" xfId="1" applyNumberFormat="1" applyFont="1" applyFill="1" applyBorder="1" applyAlignment="1">
      <alignment vertical="center"/>
    </xf>
    <xf numFmtId="189" fontId="26" fillId="11" borderId="66" xfId="1" applyNumberFormat="1" applyFont="1" applyFill="1" applyBorder="1" applyAlignment="1">
      <alignment vertical="center"/>
    </xf>
    <xf numFmtId="189" fontId="26" fillId="11" borderId="109" xfId="1" applyNumberFormat="1" applyFont="1" applyFill="1" applyBorder="1" applyAlignment="1">
      <alignment vertical="center"/>
    </xf>
    <xf numFmtId="189" fontId="26" fillId="11" borderId="56" xfId="1" applyNumberFormat="1" applyFont="1" applyFill="1" applyBorder="1" applyAlignment="1">
      <alignment vertical="center"/>
    </xf>
    <xf numFmtId="189" fontId="26" fillId="11" borderId="67" xfId="1" applyNumberFormat="1" applyFont="1" applyFill="1" applyBorder="1" applyAlignment="1">
      <alignment vertical="center"/>
    </xf>
    <xf numFmtId="189" fontId="26" fillId="11" borderId="64" xfId="1" applyNumberFormat="1" applyFont="1" applyFill="1" applyBorder="1" applyAlignment="1">
      <alignment vertical="center"/>
    </xf>
    <xf numFmtId="189" fontId="26" fillId="11" borderId="56" xfId="1" applyNumberFormat="1" applyFont="1" applyFill="1" applyBorder="1" applyAlignment="1">
      <alignment horizontal="right"/>
    </xf>
    <xf numFmtId="189" fontId="26" fillId="11" borderId="56" xfId="1" applyNumberFormat="1" applyFont="1" applyFill="1" applyBorder="1"/>
    <xf numFmtId="189" fontId="26" fillId="11" borderId="56" xfId="0" applyNumberFormat="1" applyFont="1" applyFill="1" applyBorder="1"/>
    <xf numFmtId="193" fontId="26" fillId="11" borderId="56" xfId="0" applyNumberFormat="1" applyFont="1" applyFill="1" applyBorder="1" applyAlignment="1">
      <alignment vertical="center"/>
    </xf>
    <xf numFmtId="193" fontId="26" fillId="11" borderId="57" xfId="1" applyNumberFormat="1" applyFont="1" applyFill="1" applyBorder="1" applyAlignment="1">
      <alignment vertical="center"/>
    </xf>
    <xf numFmtId="189" fontId="26" fillId="11" borderId="67" xfId="1" applyNumberFormat="1" applyFont="1" applyFill="1" applyBorder="1" applyAlignment="1">
      <alignment horizontal="right"/>
    </xf>
    <xf numFmtId="189" fontId="26" fillId="11" borderId="67" xfId="1" applyNumberFormat="1" applyFont="1" applyFill="1" applyBorder="1"/>
    <xf numFmtId="189" fontId="26" fillId="11" borderId="67" xfId="0" applyNumberFormat="1" applyFont="1" applyFill="1" applyBorder="1"/>
    <xf numFmtId="193" fontId="26" fillId="11" borderId="67" xfId="0" applyNumberFormat="1" applyFont="1" applyFill="1" applyBorder="1" applyAlignment="1">
      <alignment vertical="center"/>
    </xf>
    <xf numFmtId="193" fontId="26" fillId="11" borderId="68" xfId="1" applyNumberFormat="1" applyFont="1" applyFill="1" applyBorder="1" applyAlignment="1">
      <alignment vertical="center"/>
    </xf>
    <xf numFmtId="189" fontId="26" fillId="11" borderId="64" xfId="1" applyNumberFormat="1" applyFont="1" applyFill="1" applyBorder="1" applyAlignment="1">
      <alignment horizontal="right"/>
    </xf>
    <xf numFmtId="189" fontId="26" fillId="11" borderId="64" xfId="1" applyNumberFormat="1" applyFont="1" applyFill="1" applyBorder="1"/>
    <xf numFmtId="189" fontId="26" fillId="11" borderId="64" xfId="0" applyNumberFormat="1" applyFont="1" applyFill="1" applyBorder="1"/>
    <xf numFmtId="193" fontId="26" fillId="11" borderId="64" xfId="0" applyNumberFormat="1" applyFont="1" applyFill="1" applyBorder="1" applyAlignment="1">
      <alignment vertical="center"/>
    </xf>
    <xf numFmtId="193" fontId="26" fillId="11" borderId="65" xfId="1" applyNumberFormat="1" applyFont="1" applyFill="1" applyBorder="1" applyAlignment="1">
      <alignment vertical="center"/>
    </xf>
    <xf numFmtId="38" fontId="26" fillId="11" borderId="67" xfId="1" applyFont="1" applyFill="1" applyBorder="1" applyAlignment="1">
      <alignment horizontal="right" vertical="center"/>
    </xf>
    <xf numFmtId="38" fontId="26" fillId="11" borderId="56" xfId="1" applyFont="1" applyFill="1" applyBorder="1" applyAlignment="1">
      <alignment horizontal="right" vertical="center"/>
    </xf>
    <xf numFmtId="38" fontId="26" fillId="11" borderId="64" xfId="1" applyFont="1" applyFill="1" applyBorder="1" applyAlignment="1">
      <alignment horizontal="right" vertical="center"/>
    </xf>
    <xf numFmtId="193" fontId="26" fillId="11" borderId="66" xfId="0" applyNumberFormat="1" applyFont="1" applyFill="1" applyBorder="1" applyAlignment="1">
      <alignment vertical="center"/>
    </xf>
    <xf numFmtId="189" fontId="26" fillId="11" borderId="67" xfId="0" applyNumberFormat="1" applyFont="1" applyFill="1" applyBorder="1" applyAlignment="1">
      <alignment vertical="center"/>
    </xf>
    <xf numFmtId="193" fontId="26" fillId="11" borderId="94" xfId="0" applyNumberFormat="1" applyFont="1" applyFill="1" applyBorder="1" applyAlignment="1">
      <alignment vertical="center"/>
    </xf>
    <xf numFmtId="189" fontId="26" fillId="11" borderId="56" xfId="0" applyNumberFormat="1" applyFont="1" applyFill="1" applyBorder="1" applyAlignment="1">
      <alignment vertical="center"/>
    </xf>
    <xf numFmtId="193" fontId="26" fillId="11" borderId="69" xfId="0" applyNumberFormat="1" applyFont="1" applyFill="1" applyBorder="1" applyAlignment="1">
      <alignment vertical="center"/>
    </xf>
    <xf numFmtId="189" fontId="26" fillId="11" borderId="64" xfId="0" applyNumberFormat="1" applyFont="1" applyFill="1" applyBorder="1" applyAlignment="1">
      <alignment vertical="center"/>
    </xf>
    <xf numFmtId="189" fontId="26" fillId="5" borderId="117" xfId="1" applyNumberFormat="1" applyFont="1" applyFill="1" applyBorder="1" applyAlignment="1">
      <alignment vertical="center"/>
    </xf>
    <xf numFmtId="185" fontId="26" fillId="0" borderId="57" xfId="0" applyNumberFormat="1" applyFont="1" applyFill="1" applyBorder="1" applyAlignment="1">
      <alignment vertical="center"/>
    </xf>
    <xf numFmtId="185" fontId="26" fillId="5" borderId="98" xfId="0" applyNumberFormat="1" applyFont="1" applyFill="1" applyBorder="1" applyAlignment="1">
      <alignment vertical="center"/>
    </xf>
    <xf numFmtId="189" fontId="18" fillId="5" borderId="56" xfId="1" applyNumberFormat="1" applyFont="1" applyFill="1" applyBorder="1" applyAlignment="1">
      <alignment horizontal="right"/>
    </xf>
    <xf numFmtId="189" fontId="18" fillId="5" borderId="56" xfId="1" applyNumberFormat="1" applyFont="1" applyFill="1" applyBorder="1"/>
    <xf numFmtId="189" fontId="18" fillId="5" borderId="56" xfId="0" applyNumberFormat="1" applyFont="1" applyFill="1" applyBorder="1"/>
    <xf numFmtId="193" fontId="18" fillId="5" borderId="56" xfId="0" applyNumberFormat="1" applyFont="1" applyFill="1" applyBorder="1" applyAlignment="1">
      <alignment vertical="center"/>
    </xf>
    <xf numFmtId="193" fontId="18" fillId="5" borderId="57" xfId="1" applyNumberFormat="1" applyFont="1" applyFill="1" applyBorder="1" applyAlignment="1">
      <alignment vertical="center"/>
    </xf>
    <xf numFmtId="177" fontId="26" fillId="5" borderId="64" xfId="0" applyNumberFormat="1" applyFont="1" applyFill="1" applyBorder="1" applyAlignment="1">
      <alignment horizontal="right" vertical="center"/>
    </xf>
    <xf numFmtId="188" fontId="26" fillId="5" borderId="67" xfId="0" applyNumberFormat="1" applyFont="1" applyFill="1" applyBorder="1" applyAlignment="1">
      <alignment horizontal="right" vertical="center"/>
    </xf>
    <xf numFmtId="177" fontId="18" fillId="5" borderId="56" xfId="1" applyNumberFormat="1" applyFont="1" applyFill="1" applyBorder="1" applyAlignment="1">
      <alignment horizontal="right" vertical="center"/>
    </xf>
    <xf numFmtId="49" fontId="14" fillId="6" borderId="109" xfId="0" applyNumberFormat="1" applyFont="1" applyFill="1" applyBorder="1" applyAlignment="1">
      <alignment horizontal="right" vertical="center"/>
    </xf>
    <xf numFmtId="185" fontId="18" fillId="5" borderId="56" xfId="0" applyNumberFormat="1" applyFont="1" applyFill="1" applyBorder="1"/>
    <xf numFmtId="49" fontId="15" fillId="6" borderId="109" xfId="0" applyNumberFormat="1" applyFont="1" applyFill="1" applyBorder="1" applyAlignment="1">
      <alignment horizontal="right" vertical="center"/>
    </xf>
    <xf numFmtId="185" fontId="26" fillId="5" borderId="109" xfId="0" applyNumberFormat="1" applyFont="1" applyFill="1" applyBorder="1" applyAlignment="1">
      <alignment vertical="center"/>
    </xf>
    <xf numFmtId="178" fontId="14" fillId="6" borderId="126" xfId="0" applyNumberFormat="1" applyFont="1" applyFill="1" applyBorder="1" applyAlignment="1" applyProtection="1">
      <alignment horizontal="right" vertical="center"/>
      <protection locked="0"/>
    </xf>
    <xf numFmtId="189" fontId="26" fillId="5" borderId="94" xfId="0" applyNumberFormat="1" applyFont="1" applyFill="1" applyBorder="1" applyAlignment="1">
      <alignment vertical="center"/>
    </xf>
    <xf numFmtId="189" fontId="26" fillId="5" borderId="69" xfId="0" applyNumberFormat="1" applyFont="1" applyFill="1" applyBorder="1" applyAlignment="1">
      <alignment vertical="center"/>
    </xf>
    <xf numFmtId="179" fontId="26" fillId="0" borderId="56" xfId="1" applyNumberFormat="1" applyFont="1" applyFill="1" applyBorder="1" applyAlignment="1">
      <alignment horizontal="right" vertical="center"/>
    </xf>
    <xf numFmtId="49" fontId="14" fillId="6" borderId="128" xfId="0" applyNumberFormat="1" applyFont="1" applyFill="1" applyBorder="1" applyAlignment="1">
      <alignment horizontal="right" vertical="center"/>
    </xf>
    <xf numFmtId="189" fontId="26" fillId="5" borderId="128" xfId="1" applyNumberFormat="1" applyFont="1" applyFill="1" applyBorder="1" applyAlignment="1">
      <alignment vertical="center"/>
    </xf>
    <xf numFmtId="184" fontId="26" fillId="5" borderId="64" xfId="1" applyNumberFormat="1" applyFont="1" applyFill="1" applyBorder="1" applyAlignment="1">
      <alignment vertical="center"/>
    </xf>
    <xf numFmtId="0" fontId="14" fillId="6" borderId="129" xfId="0" applyNumberFormat="1" applyFont="1" applyFill="1" applyBorder="1" applyAlignment="1" applyProtection="1">
      <alignment horizontal="right" vertical="center"/>
      <protection locked="0"/>
    </xf>
    <xf numFmtId="189" fontId="26" fillId="5" borderId="128" xfId="0" applyNumberFormat="1" applyFont="1" applyFill="1" applyBorder="1" applyAlignment="1">
      <alignment vertical="center"/>
    </xf>
    <xf numFmtId="179" fontId="26" fillId="0" borderId="56" xfId="0" applyNumberFormat="1" applyFont="1" applyFill="1" applyBorder="1" applyAlignment="1">
      <alignment horizontal="right" vertical="center"/>
    </xf>
    <xf numFmtId="38" fontId="26" fillId="0" borderId="56" xfId="1" applyFont="1" applyFill="1" applyBorder="1" applyAlignment="1">
      <alignment horizontal="right" vertical="center"/>
    </xf>
    <xf numFmtId="177" fontId="26" fillId="0" borderId="56" xfId="1" applyNumberFormat="1" applyFont="1" applyFill="1" applyBorder="1" applyAlignment="1">
      <alignment horizontal="right" vertical="center"/>
    </xf>
    <xf numFmtId="188" fontId="26" fillId="0" borderId="56" xfId="0" applyNumberFormat="1" applyFont="1" applyFill="1" applyBorder="1" applyAlignment="1">
      <alignment horizontal="right" vertical="center"/>
    </xf>
    <xf numFmtId="177" fontId="26" fillId="0" borderId="56" xfId="0" applyNumberFormat="1" applyFont="1" applyFill="1" applyBorder="1" applyAlignment="1">
      <alignment horizontal="right" vertical="center"/>
    </xf>
    <xf numFmtId="0" fontId="31" fillId="5" borderId="0" xfId="0" applyFont="1" applyFill="1" applyAlignment="1">
      <alignment horizontal="left" vertical="center"/>
    </xf>
    <xf numFmtId="0" fontId="32" fillId="5" borderId="0" xfId="0" applyFont="1" applyFill="1" applyAlignment="1">
      <alignment horizontal="center" vertical="center"/>
    </xf>
    <xf numFmtId="185" fontId="26" fillId="12" borderId="56" xfId="0" applyNumberFormat="1" applyFont="1" applyFill="1" applyBorder="1" applyAlignment="1">
      <alignment vertical="center"/>
    </xf>
    <xf numFmtId="185" fontId="18" fillId="12" borderId="67" xfId="0" applyNumberFormat="1" applyFont="1" applyFill="1" applyBorder="1" applyAlignment="1">
      <alignment vertical="center"/>
    </xf>
    <xf numFmtId="185" fontId="18" fillId="12" borderId="56" xfId="0" applyNumberFormat="1" applyFont="1" applyFill="1" applyBorder="1" applyAlignment="1">
      <alignment vertical="center"/>
    </xf>
    <xf numFmtId="185" fontId="18" fillId="12" borderId="64" xfId="0" applyNumberFormat="1" applyFont="1" applyFill="1" applyBorder="1" applyAlignment="1">
      <alignment vertical="center"/>
    </xf>
    <xf numFmtId="185" fontId="18" fillId="12" borderId="118" xfId="0" applyNumberFormat="1" applyFont="1" applyFill="1" applyBorder="1" applyAlignment="1">
      <alignment vertical="center"/>
    </xf>
    <xf numFmtId="185" fontId="18" fillId="12" borderId="119" xfId="0" applyNumberFormat="1" applyFont="1" applyFill="1" applyBorder="1" applyAlignment="1">
      <alignment vertical="center"/>
    </xf>
    <xf numFmtId="185" fontId="18" fillId="12" borderId="120" xfId="0" applyNumberFormat="1" applyFont="1" applyFill="1" applyBorder="1" applyAlignment="1">
      <alignment vertical="center"/>
    </xf>
    <xf numFmtId="185" fontId="26" fillId="12" borderId="119" xfId="0" applyNumberFormat="1" applyFont="1" applyFill="1" applyBorder="1" applyAlignment="1">
      <alignment vertical="center"/>
    </xf>
    <xf numFmtId="193" fontId="26" fillId="12" borderId="98" xfId="0" applyNumberFormat="1" applyFont="1" applyFill="1" applyBorder="1" applyAlignment="1">
      <alignment vertical="center"/>
    </xf>
    <xf numFmtId="193" fontId="26" fillId="12" borderId="94" xfId="0" applyNumberFormat="1" applyFont="1" applyFill="1" applyBorder="1" applyAlignment="1">
      <alignment vertical="center"/>
    </xf>
    <xf numFmtId="193" fontId="26" fillId="12" borderId="66" xfId="0" applyNumberFormat="1" applyFont="1" applyFill="1" applyBorder="1" applyAlignment="1">
      <alignment vertical="center"/>
    </xf>
    <xf numFmtId="193" fontId="26" fillId="12" borderId="69" xfId="0" applyNumberFormat="1" applyFont="1" applyFill="1" applyBorder="1" applyAlignment="1">
      <alignment vertical="center"/>
    </xf>
    <xf numFmtId="179" fontId="26" fillId="12" borderId="98" xfId="0" applyNumberFormat="1" applyFont="1" applyFill="1" applyBorder="1" applyAlignment="1">
      <alignment horizontal="right" vertical="center"/>
    </xf>
    <xf numFmtId="179" fontId="26" fillId="12" borderId="56" xfId="0" applyNumberFormat="1" applyFont="1" applyFill="1" applyBorder="1" applyAlignment="1">
      <alignment horizontal="right" vertical="center"/>
    </xf>
    <xf numFmtId="179" fontId="26" fillId="12" borderId="94" xfId="0" applyNumberFormat="1" applyFont="1" applyFill="1" applyBorder="1" applyAlignment="1">
      <alignment horizontal="right" vertical="center"/>
    </xf>
    <xf numFmtId="179" fontId="26" fillId="12" borderId="66" xfId="0" applyNumberFormat="1" applyFont="1" applyFill="1" applyBorder="1" applyAlignment="1">
      <alignment horizontal="right" vertical="center"/>
    </xf>
    <xf numFmtId="179" fontId="26" fillId="12" borderId="67" xfId="0" applyNumberFormat="1" applyFont="1" applyFill="1" applyBorder="1" applyAlignment="1">
      <alignment horizontal="right" vertical="center"/>
    </xf>
    <xf numFmtId="179" fontId="26" fillId="12" borderId="55" xfId="0" applyNumberFormat="1" applyFont="1" applyFill="1" applyBorder="1" applyAlignment="1">
      <alignment horizontal="right" vertical="center"/>
    </xf>
    <xf numFmtId="179" fontId="26" fillId="12" borderId="69" xfId="0" applyNumberFormat="1" applyFont="1" applyFill="1" applyBorder="1" applyAlignment="1">
      <alignment horizontal="right" vertical="center"/>
    </xf>
    <xf numFmtId="179" fontId="26" fillId="12" borderId="64" xfId="0" applyNumberFormat="1" applyFont="1" applyFill="1" applyBorder="1" applyAlignment="1">
      <alignment horizontal="right" vertical="center"/>
    </xf>
    <xf numFmtId="177" fontId="26" fillId="12" borderId="56" xfId="0" applyNumberFormat="1" applyFont="1" applyFill="1" applyBorder="1" applyAlignment="1">
      <alignment horizontal="right" vertical="center"/>
    </xf>
    <xf numFmtId="189" fontId="18" fillId="5" borderId="56" xfId="1" applyNumberFormat="1" applyFont="1" applyFill="1" applyBorder="1" applyAlignment="1">
      <alignment vertical="center"/>
    </xf>
    <xf numFmtId="179" fontId="18" fillId="0" borderId="56" xfId="0" applyNumberFormat="1" applyFont="1" applyFill="1" applyBorder="1" applyAlignment="1">
      <alignment horizontal="right" vertical="center"/>
    </xf>
    <xf numFmtId="38" fontId="18" fillId="0" borderId="56" xfId="1" applyFont="1" applyFill="1" applyBorder="1" applyAlignment="1">
      <alignment horizontal="right" vertical="center"/>
    </xf>
    <xf numFmtId="179" fontId="18" fillId="0" borderId="56" xfId="1" applyNumberFormat="1" applyFont="1" applyFill="1" applyBorder="1" applyAlignment="1">
      <alignment horizontal="right" vertical="center"/>
    </xf>
    <xf numFmtId="177" fontId="18" fillId="0" borderId="56" xfId="1" applyNumberFormat="1" applyFont="1" applyFill="1" applyBorder="1" applyAlignment="1">
      <alignment horizontal="right" vertical="center"/>
    </xf>
    <xf numFmtId="56" fontId="18" fillId="5" borderId="56" xfId="0" applyNumberFormat="1" applyFont="1" applyFill="1" applyBorder="1" applyAlignment="1">
      <alignment horizontal="right"/>
    </xf>
    <xf numFmtId="183" fontId="18" fillId="5" borderId="56" xfId="0" applyNumberFormat="1" applyFont="1" applyFill="1" applyBorder="1" applyAlignment="1">
      <alignment horizontal="right" vertical="center"/>
    </xf>
    <xf numFmtId="184" fontId="18" fillId="5" borderId="56" xfId="1" applyNumberFormat="1" applyFont="1" applyFill="1" applyBorder="1" applyAlignment="1">
      <alignment vertical="center"/>
    </xf>
    <xf numFmtId="185" fontId="18" fillId="5" borderId="57" xfId="0" applyNumberFormat="1" applyFont="1" applyFill="1" applyBorder="1" applyAlignment="1">
      <alignment vertical="center"/>
    </xf>
    <xf numFmtId="189" fontId="18" fillId="5" borderId="56" xfId="0" applyNumberFormat="1" applyFont="1" applyFill="1" applyBorder="1" applyAlignment="1">
      <alignment vertical="center"/>
    </xf>
    <xf numFmtId="193" fontId="18" fillId="5" borderId="57" xfId="0" applyNumberFormat="1" applyFont="1" applyFill="1" applyBorder="1" applyAlignment="1">
      <alignment vertical="center"/>
    </xf>
    <xf numFmtId="49" fontId="14" fillId="6" borderId="108" xfId="0" applyNumberFormat="1" applyFont="1" applyFill="1" applyBorder="1" applyAlignment="1">
      <alignment horizontal="right" vertical="center"/>
    </xf>
    <xf numFmtId="177" fontId="26" fillId="5" borderId="67" xfId="0" applyNumberFormat="1" applyFont="1" applyFill="1" applyBorder="1" applyAlignment="1">
      <alignment horizontal="right" vertical="center"/>
    </xf>
    <xf numFmtId="179" fontId="26" fillId="5" borderId="108" xfId="0" applyNumberFormat="1" applyFont="1" applyFill="1" applyBorder="1" applyAlignment="1">
      <alignment horizontal="right" vertical="center"/>
    </xf>
    <xf numFmtId="184" fontId="26" fillId="5" borderId="67" xfId="1" applyNumberFormat="1" applyFont="1" applyFill="1" applyBorder="1" applyAlignment="1">
      <alignment vertical="center"/>
    </xf>
    <xf numFmtId="49" fontId="15" fillId="6" borderId="128" xfId="0" applyNumberFormat="1" applyFont="1" applyFill="1" applyBorder="1" applyAlignment="1">
      <alignment horizontal="right" vertical="center"/>
    </xf>
    <xf numFmtId="185" fontId="26" fillId="5" borderId="128" xfId="0" applyNumberFormat="1" applyFont="1" applyFill="1" applyBorder="1" applyAlignment="1">
      <alignment vertical="center"/>
    </xf>
    <xf numFmtId="185" fontId="26" fillId="5" borderId="117" xfId="0" applyNumberFormat="1" applyFont="1" applyFill="1" applyBorder="1" applyAlignment="1">
      <alignment vertical="center"/>
    </xf>
    <xf numFmtId="185" fontId="18" fillId="12" borderId="62" xfId="0" applyNumberFormat="1" applyFont="1" applyFill="1" applyBorder="1" applyAlignment="1">
      <alignment vertical="center"/>
    </xf>
    <xf numFmtId="185" fontId="18" fillId="12" borderId="79" xfId="0" applyNumberFormat="1" applyFont="1" applyFill="1" applyBorder="1" applyAlignment="1">
      <alignment vertical="center"/>
    </xf>
    <xf numFmtId="185" fontId="18" fillId="12" borderId="63" xfId="0" applyNumberFormat="1" applyFont="1" applyFill="1" applyBorder="1" applyAlignment="1">
      <alignment vertical="center"/>
    </xf>
    <xf numFmtId="185" fontId="26" fillId="12" borderId="79" xfId="0" applyNumberFormat="1" applyFont="1" applyFill="1" applyBorder="1" applyAlignment="1">
      <alignment vertical="center"/>
    </xf>
    <xf numFmtId="185" fontId="26" fillId="5" borderId="62" xfId="0" applyNumberFormat="1" applyFont="1" applyFill="1" applyBorder="1" applyAlignment="1">
      <alignment vertical="center"/>
    </xf>
    <xf numFmtId="185" fontId="26" fillId="5" borderId="79" xfId="0" applyNumberFormat="1" applyFont="1" applyFill="1" applyBorder="1" applyAlignment="1">
      <alignment vertical="center"/>
    </xf>
    <xf numFmtId="49" fontId="14" fillId="6" borderId="117" xfId="0" applyNumberFormat="1" applyFont="1" applyFill="1" applyBorder="1" applyAlignment="1">
      <alignment horizontal="right" vertical="center"/>
    </xf>
    <xf numFmtId="193" fontId="26" fillId="5" borderId="108" xfId="0" applyNumberFormat="1" applyFont="1" applyFill="1" applyBorder="1" applyAlignment="1">
      <alignment vertical="center"/>
    </xf>
    <xf numFmtId="0" fontId="14" fillId="6" borderId="133" xfId="0" applyNumberFormat="1" applyFont="1" applyFill="1" applyBorder="1" applyAlignment="1" applyProtection="1">
      <alignment horizontal="right" vertical="center"/>
      <protection locked="0"/>
    </xf>
    <xf numFmtId="189" fontId="26" fillId="5" borderId="134" xfId="0" applyNumberFormat="1" applyFont="1" applyFill="1" applyBorder="1" applyAlignment="1">
      <alignment vertical="center"/>
    </xf>
    <xf numFmtId="0" fontId="14" fillId="6" borderId="135" xfId="0" applyNumberFormat="1" applyFont="1" applyFill="1" applyBorder="1" applyAlignment="1" applyProtection="1">
      <alignment horizontal="right" vertical="center"/>
      <protection locked="0"/>
    </xf>
    <xf numFmtId="185" fontId="26" fillId="12" borderId="67" xfId="0" applyNumberFormat="1" applyFont="1" applyFill="1" applyBorder="1" applyAlignment="1">
      <alignment vertical="center"/>
    </xf>
    <xf numFmtId="185" fontId="26" fillId="12" borderId="64" xfId="0" applyNumberFormat="1" applyFont="1" applyFill="1" applyBorder="1" applyAlignment="1">
      <alignment vertical="center"/>
    </xf>
    <xf numFmtId="185" fontId="26" fillId="12" borderId="118" xfId="0" applyNumberFormat="1" applyFont="1" applyFill="1" applyBorder="1" applyAlignment="1">
      <alignment vertical="center"/>
    </xf>
    <xf numFmtId="185" fontId="26" fillId="12" borderId="120" xfId="0" applyNumberFormat="1" applyFont="1" applyFill="1" applyBorder="1" applyAlignment="1">
      <alignment vertical="center"/>
    </xf>
    <xf numFmtId="185" fontId="26" fillId="12" borderId="62" xfId="0" applyNumberFormat="1" applyFont="1" applyFill="1" applyBorder="1" applyAlignment="1">
      <alignment vertical="center"/>
    </xf>
    <xf numFmtId="185" fontId="26" fillId="12" borderId="63" xfId="0" applyNumberFormat="1" applyFont="1" applyFill="1" applyBorder="1" applyAlignment="1">
      <alignment vertical="center"/>
    </xf>
    <xf numFmtId="189" fontId="26" fillId="12" borderId="108" xfId="1" applyNumberFormat="1" applyFont="1" applyFill="1" applyBorder="1" applyAlignment="1">
      <alignment vertical="center"/>
    </xf>
    <xf numFmtId="189" fontId="26" fillId="12" borderId="94" xfId="1" applyNumberFormat="1" applyFont="1" applyFill="1" applyBorder="1" applyAlignment="1">
      <alignment vertical="center"/>
    </xf>
    <xf numFmtId="189" fontId="26" fillId="12" borderId="109" xfId="1" applyNumberFormat="1" applyFont="1" applyFill="1" applyBorder="1" applyAlignment="1">
      <alignment vertical="center"/>
    </xf>
    <xf numFmtId="189" fontId="26" fillId="12" borderId="98" xfId="1" applyNumberFormat="1" applyFont="1" applyFill="1" applyBorder="1" applyAlignment="1">
      <alignment vertical="center"/>
    </xf>
    <xf numFmtId="189" fontId="26" fillId="12" borderId="128" xfId="1" applyNumberFormat="1" applyFont="1" applyFill="1" applyBorder="1" applyAlignment="1">
      <alignment vertical="center"/>
    </xf>
    <xf numFmtId="189" fontId="26" fillId="12" borderId="67" xfId="1" applyNumberFormat="1" applyFont="1" applyFill="1" applyBorder="1" applyAlignment="1">
      <alignment vertical="center"/>
    </xf>
    <xf numFmtId="189" fontId="26" fillId="12" borderId="56" xfId="1" applyNumberFormat="1" applyFont="1" applyFill="1" applyBorder="1" applyAlignment="1">
      <alignment vertical="center"/>
    </xf>
    <xf numFmtId="189" fontId="26" fillId="12" borderId="64" xfId="1" applyNumberFormat="1" applyFont="1" applyFill="1" applyBorder="1" applyAlignment="1">
      <alignment vertical="center"/>
    </xf>
    <xf numFmtId="189" fontId="18" fillId="12" borderId="56" xfId="1" applyNumberFormat="1" applyFont="1" applyFill="1" applyBorder="1" applyAlignment="1">
      <alignment vertical="center"/>
    </xf>
    <xf numFmtId="179" fontId="26" fillId="12" borderId="121" xfId="0" applyNumberFormat="1" applyFont="1" applyFill="1" applyBorder="1" applyAlignment="1">
      <alignment horizontal="right" vertical="center"/>
    </xf>
    <xf numFmtId="179" fontId="26" fillId="12" borderId="123" xfId="0" applyNumberFormat="1" applyFont="1" applyFill="1" applyBorder="1" applyAlignment="1">
      <alignment horizontal="right" vertical="center"/>
    </xf>
    <xf numFmtId="179" fontId="26" fillId="12" borderId="109" xfId="0" applyNumberFormat="1" applyFont="1" applyFill="1" applyBorder="1" applyAlignment="1">
      <alignment horizontal="right" vertical="center"/>
    </xf>
    <xf numFmtId="179" fontId="26" fillId="12" borderId="128" xfId="0" applyNumberFormat="1" applyFont="1" applyFill="1" applyBorder="1" applyAlignment="1">
      <alignment horizontal="right" vertical="center"/>
    </xf>
    <xf numFmtId="38" fontId="26" fillId="12" borderId="123" xfId="1" applyFont="1" applyFill="1" applyBorder="1" applyAlignment="1">
      <alignment horizontal="right" vertical="center"/>
    </xf>
    <xf numFmtId="38" fontId="26" fillId="12" borderId="56" xfId="1" applyFont="1" applyFill="1" applyBorder="1" applyAlignment="1">
      <alignment horizontal="right" vertical="center"/>
    </xf>
    <xf numFmtId="38" fontId="18" fillId="12" borderId="56" xfId="1" applyFont="1" applyFill="1" applyBorder="1" applyAlignment="1">
      <alignment horizontal="right" vertical="center"/>
    </xf>
    <xf numFmtId="38" fontId="26" fillId="12" borderId="64" xfId="1" applyFont="1" applyFill="1" applyBorder="1" applyAlignment="1">
      <alignment horizontal="right" vertical="center"/>
    </xf>
    <xf numFmtId="177" fontId="26" fillId="12" borderId="123" xfId="0" applyNumberFormat="1" applyFont="1" applyFill="1" applyBorder="1" applyAlignment="1">
      <alignment horizontal="right" vertical="center"/>
    </xf>
    <xf numFmtId="188" fontId="26" fillId="12" borderId="56" xfId="0" applyNumberFormat="1" applyFont="1" applyFill="1" applyBorder="1" applyAlignment="1">
      <alignment horizontal="right" vertical="center"/>
    </xf>
    <xf numFmtId="177" fontId="26" fillId="12" borderId="64" xfId="0" applyNumberFormat="1" applyFont="1" applyFill="1" applyBorder="1" applyAlignment="1">
      <alignment horizontal="right" vertical="center"/>
    </xf>
    <xf numFmtId="177" fontId="18" fillId="12" borderId="56" xfId="0" applyNumberFormat="1" applyFont="1" applyFill="1" applyBorder="1" applyAlignment="1">
      <alignment horizontal="right" vertical="center"/>
    </xf>
    <xf numFmtId="193" fontId="26" fillId="12" borderId="121" xfId="0" applyNumberFormat="1" applyFont="1" applyFill="1" applyBorder="1" applyAlignment="1">
      <alignment vertical="center"/>
    </xf>
    <xf numFmtId="189" fontId="26" fillId="12" borderId="123" xfId="0" applyNumberFormat="1" applyFont="1" applyFill="1" applyBorder="1" applyAlignment="1">
      <alignment vertical="center"/>
    </xf>
    <xf numFmtId="189" fontId="26" fillId="12" borderId="56" xfId="0" applyNumberFormat="1" applyFont="1" applyFill="1" applyBorder="1" applyAlignment="1">
      <alignment vertical="center"/>
    </xf>
    <xf numFmtId="189" fontId="26" fillId="12" borderId="64" xfId="0" applyNumberFormat="1" applyFont="1" applyFill="1" applyBorder="1" applyAlignment="1">
      <alignment vertical="center"/>
    </xf>
    <xf numFmtId="193" fontId="26" fillId="12" borderId="109" xfId="0" applyNumberFormat="1" applyFont="1" applyFill="1" applyBorder="1" applyAlignment="1">
      <alignment vertical="center"/>
    </xf>
    <xf numFmtId="189" fontId="18" fillId="12" borderId="56" xfId="0" applyNumberFormat="1" applyFont="1" applyFill="1" applyBorder="1" applyAlignment="1">
      <alignment vertical="center"/>
    </xf>
    <xf numFmtId="0" fontId="14" fillId="5" borderId="130" xfId="0" applyFont="1" applyFill="1" applyBorder="1" applyAlignment="1">
      <alignment horizontal="center" vertical="center" wrapText="1"/>
    </xf>
    <xf numFmtId="0" fontId="14" fillId="5" borderId="136" xfId="0" applyFont="1" applyFill="1" applyBorder="1" applyAlignment="1">
      <alignment horizontal="center" vertical="center" wrapText="1"/>
    </xf>
    <xf numFmtId="49" fontId="15" fillId="6" borderId="137" xfId="0" applyNumberFormat="1" applyFont="1" applyFill="1" applyBorder="1" applyAlignment="1">
      <alignment horizontal="right" vertical="center"/>
    </xf>
    <xf numFmtId="49" fontId="15" fillId="6" borderId="138" xfId="0" applyNumberFormat="1" applyFont="1" applyFill="1" applyBorder="1" applyAlignment="1">
      <alignment horizontal="right" vertical="center"/>
    </xf>
    <xf numFmtId="185" fontId="26" fillId="5" borderId="137" xfId="0" applyNumberFormat="1" applyFont="1" applyFill="1" applyBorder="1" applyAlignment="1">
      <alignment vertical="center"/>
    </xf>
    <xf numFmtId="185" fontId="26" fillId="5" borderId="139" xfId="0" applyNumberFormat="1" applyFont="1" applyFill="1" applyBorder="1" applyAlignment="1">
      <alignment vertical="center"/>
    </xf>
    <xf numFmtId="185" fontId="18" fillId="5" borderId="139" xfId="0" applyNumberFormat="1" applyFont="1" applyFill="1" applyBorder="1" applyAlignment="1">
      <alignment vertical="center"/>
    </xf>
    <xf numFmtId="185" fontId="26" fillId="5" borderId="140" xfId="0" applyNumberFormat="1" applyFont="1" applyFill="1" applyBorder="1" applyAlignment="1">
      <alignment vertical="center"/>
    </xf>
    <xf numFmtId="185" fontId="26" fillId="5" borderId="141" xfId="0" applyNumberFormat="1" applyFont="1" applyFill="1" applyBorder="1" applyAlignment="1">
      <alignment vertical="center"/>
    </xf>
    <xf numFmtId="185" fontId="26" fillId="5" borderId="125" xfId="0" applyNumberFormat="1" applyFont="1" applyFill="1" applyBorder="1" applyAlignment="1">
      <alignment vertical="center"/>
    </xf>
    <xf numFmtId="185" fontId="26" fillId="5" borderId="123" xfId="0" applyNumberFormat="1" applyFont="1" applyFill="1" applyBorder="1" applyAlignment="1">
      <alignment vertical="center"/>
    </xf>
    <xf numFmtId="185" fontId="18" fillId="5" borderId="123" xfId="0" applyNumberFormat="1" applyFont="1" applyFill="1" applyBorder="1"/>
    <xf numFmtId="185" fontId="26" fillId="5" borderId="122" xfId="0" applyNumberFormat="1" applyFont="1" applyFill="1" applyBorder="1" applyAlignment="1">
      <alignment vertical="center"/>
    </xf>
    <xf numFmtId="185" fontId="26" fillId="5" borderId="142" xfId="0" applyNumberFormat="1" applyFont="1" applyFill="1" applyBorder="1" applyAlignment="1">
      <alignment vertical="center"/>
    </xf>
    <xf numFmtId="49" fontId="14" fillId="6" borderId="137" xfId="0" applyNumberFormat="1" applyFont="1" applyFill="1" applyBorder="1" applyAlignment="1">
      <alignment horizontal="right" vertical="center"/>
    </xf>
    <xf numFmtId="49" fontId="14" fillId="6" borderId="138" xfId="0" applyNumberFormat="1" applyFont="1" applyFill="1" applyBorder="1" applyAlignment="1">
      <alignment horizontal="right" vertical="center"/>
    </xf>
    <xf numFmtId="189" fontId="26" fillId="5" borderId="137" xfId="1" applyNumberFormat="1" applyFont="1" applyFill="1" applyBorder="1" applyAlignment="1">
      <alignment vertical="center"/>
    </xf>
    <xf numFmtId="189" fontId="26" fillId="5" borderId="139" xfId="1" applyNumberFormat="1" applyFont="1" applyFill="1" applyBorder="1" applyAlignment="1">
      <alignment horizontal="right"/>
    </xf>
    <xf numFmtId="189" fontId="26" fillId="5" borderId="139" xfId="1" applyNumberFormat="1" applyFont="1" applyFill="1" applyBorder="1"/>
    <xf numFmtId="189" fontId="26" fillId="5" borderId="139" xfId="1" applyNumberFormat="1" applyFont="1" applyFill="1" applyBorder="1" applyAlignment="1">
      <alignment vertical="center"/>
    </xf>
    <xf numFmtId="189" fontId="26" fillId="5" borderId="139" xfId="0" applyNumberFormat="1" applyFont="1" applyFill="1" applyBorder="1"/>
    <xf numFmtId="193" fontId="26" fillId="5" borderId="139" xfId="0" applyNumberFormat="1" applyFont="1" applyFill="1" applyBorder="1" applyAlignment="1">
      <alignment vertical="center"/>
    </xf>
    <xf numFmtId="193" fontId="26" fillId="5" borderId="140" xfId="1" applyNumberFormat="1" applyFont="1" applyFill="1" applyBorder="1" applyAlignment="1">
      <alignment vertical="center"/>
    </xf>
    <xf numFmtId="189" fontId="26" fillId="5" borderId="125" xfId="1" applyNumberFormat="1" applyFont="1" applyFill="1" applyBorder="1" applyAlignment="1">
      <alignment vertical="center"/>
    </xf>
    <xf numFmtId="189" fontId="26" fillId="5" borderId="123" xfId="1" applyNumberFormat="1" applyFont="1" applyFill="1" applyBorder="1" applyAlignment="1">
      <alignment vertical="center"/>
    </xf>
    <xf numFmtId="193" fontId="26" fillId="5" borderId="122" xfId="1" applyNumberFormat="1" applyFont="1" applyFill="1" applyBorder="1" applyAlignment="1">
      <alignment vertical="center"/>
    </xf>
    <xf numFmtId="179" fontId="26" fillId="0" borderId="64" xfId="0" applyNumberFormat="1" applyFont="1" applyFill="1" applyBorder="1" applyAlignment="1">
      <alignment horizontal="right" vertical="center"/>
    </xf>
    <xf numFmtId="38" fontId="26" fillId="0" borderId="64" xfId="1" applyFont="1" applyFill="1" applyBorder="1" applyAlignment="1">
      <alignment horizontal="right" vertical="center"/>
    </xf>
    <xf numFmtId="179" fontId="26" fillId="0" borderId="64" xfId="1" applyNumberFormat="1" applyFont="1" applyFill="1" applyBorder="1" applyAlignment="1">
      <alignment horizontal="right" vertical="center"/>
    </xf>
    <xf numFmtId="177" fontId="26" fillId="0" borderId="64" xfId="1" applyNumberFormat="1" applyFont="1" applyFill="1" applyBorder="1" applyAlignment="1">
      <alignment horizontal="right" vertical="center"/>
    </xf>
    <xf numFmtId="177" fontId="26" fillId="0" borderId="64" xfId="0" applyNumberFormat="1" applyFont="1" applyFill="1" applyBorder="1" applyAlignment="1">
      <alignment horizontal="right" vertical="center"/>
    </xf>
    <xf numFmtId="0" fontId="14" fillId="6" borderId="143" xfId="0" applyNumberFormat="1" applyFont="1" applyFill="1" applyBorder="1" applyAlignment="1" applyProtection="1">
      <alignment horizontal="right" vertical="center"/>
      <protection locked="0"/>
    </xf>
    <xf numFmtId="193" fontId="26" fillId="5" borderId="144" xfId="0" applyNumberFormat="1" applyFont="1" applyFill="1" applyBorder="1" applyAlignment="1">
      <alignment vertical="center"/>
    </xf>
    <xf numFmtId="189" fontId="26" fillId="5" borderId="139" xfId="0" applyNumberFormat="1" applyFont="1" applyFill="1" applyBorder="1" applyAlignment="1">
      <alignment vertical="center"/>
    </xf>
    <xf numFmtId="193" fontId="26" fillId="5" borderId="140" xfId="0" applyNumberFormat="1" applyFont="1" applyFill="1" applyBorder="1" applyAlignment="1">
      <alignment vertical="center"/>
    </xf>
    <xf numFmtId="193" fontId="26" fillId="5" borderId="125" xfId="0" applyNumberFormat="1" applyFont="1" applyFill="1" applyBorder="1" applyAlignment="1">
      <alignment vertical="center"/>
    </xf>
    <xf numFmtId="189" fontId="26" fillId="5" borderId="123" xfId="1" applyNumberFormat="1" applyFont="1" applyFill="1" applyBorder="1" applyAlignment="1">
      <alignment horizontal="right"/>
    </xf>
    <xf numFmtId="189" fontId="26" fillId="5" borderId="123" xfId="1" applyNumberFormat="1" applyFont="1" applyFill="1" applyBorder="1"/>
    <xf numFmtId="189" fontId="26" fillId="5" borderId="117" xfId="0" applyNumberFormat="1" applyFont="1" applyFill="1" applyBorder="1" applyAlignment="1">
      <alignment vertical="center"/>
    </xf>
    <xf numFmtId="189" fontId="26" fillId="5" borderId="93" xfId="0" applyNumberFormat="1" applyFont="1" applyFill="1" applyBorder="1"/>
    <xf numFmtId="189" fontId="26" fillId="5" borderId="60" xfId="0" applyNumberFormat="1" applyFont="1" applyFill="1" applyBorder="1"/>
    <xf numFmtId="49" fontId="14" fillId="6" borderId="134" xfId="0" applyNumberFormat="1" applyFont="1" applyFill="1" applyBorder="1" applyAlignment="1">
      <alignment horizontal="right" vertical="center"/>
    </xf>
    <xf numFmtId="189" fontId="26" fillId="5" borderId="88" xfId="0" applyNumberFormat="1" applyFont="1" applyFill="1" applyBorder="1" applyAlignment="1">
      <alignment vertical="center"/>
    </xf>
    <xf numFmtId="185" fontId="26" fillId="0" borderId="56" xfId="0" applyNumberFormat="1" applyFont="1" applyFill="1" applyBorder="1" applyAlignment="1">
      <alignment vertical="center"/>
    </xf>
    <xf numFmtId="185" fontId="26" fillId="5" borderId="134" xfId="0" applyNumberFormat="1" applyFont="1" applyFill="1" applyBorder="1" applyAlignment="1">
      <alignment vertical="center"/>
    </xf>
    <xf numFmtId="0" fontId="14" fillId="5" borderId="57" xfId="0" applyFont="1" applyFill="1" applyBorder="1"/>
    <xf numFmtId="0" fontId="14" fillId="5" borderId="60" xfId="0" applyFont="1" applyFill="1" applyBorder="1"/>
    <xf numFmtId="185" fontId="26" fillId="5" borderId="67" xfId="0" applyNumberFormat="1" applyFont="1" applyFill="1" applyBorder="1"/>
    <xf numFmtId="0" fontId="14" fillId="5" borderId="145" xfId="0" applyFont="1" applyFill="1" applyBorder="1" applyAlignment="1">
      <alignment horizontal="center" vertical="center" wrapText="1"/>
    </xf>
    <xf numFmtId="49" fontId="15" fillId="6" borderId="134" xfId="0" applyNumberFormat="1" applyFont="1" applyFill="1" applyBorder="1" applyAlignment="1">
      <alignment horizontal="right" vertical="center"/>
    </xf>
    <xf numFmtId="185" fontId="26" fillId="5" borderId="120" xfId="0" applyNumberFormat="1" applyFont="1" applyFill="1" applyBorder="1" applyAlignment="1">
      <alignment vertical="center"/>
    </xf>
    <xf numFmtId="185" fontId="26" fillId="5" borderId="63" xfId="0" applyNumberFormat="1" applyFont="1" applyFill="1" applyBorder="1" applyAlignment="1">
      <alignment vertical="center"/>
    </xf>
    <xf numFmtId="0" fontId="14" fillId="5" borderId="146" xfId="0" applyFont="1" applyFill="1" applyBorder="1" applyAlignment="1">
      <alignment horizontal="center" vertical="center" wrapText="1"/>
    </xf>
    <xf numFmtId="185" fontId="26" fillId="5" borderId="56" xfId="0" applyNumberFormat="1" applyFont="1" applyFill="1" applyBorder="1"/>
    <xf numFmtId="189" fontId="26" fillId="5" borderId="134" xfId="1" applyNumberFormat="1" applyFont="1" applyFill="1" applyBorder="1" applyAlignment="1">
      <alignment vertical="center"/>
    </xf>
    <xf numFmtId="0" fontId="13" fillId="0" borderId="0" xfId="0" applyFont="1"/>
    <xf numFmtId="179" fontId="26" fillId="5" borderId="134" xfId="0" applyNumberFormat="1" applyFont="1" applyFill="1" applyBorder="1" applyAlignment="1">
      <alignment horizontal="right" vertical="center"/>
    </xf>
    <xf numFmtId="38" fontId="26" fillId="0" borderId="67" xfId="1" applyFont="1" applyFill="1" applyBorder="1" applyAlignment="1">
      <alignment horizontal="right" vertical="center"/>
    </xf>
    <xf numFmtId="179" fontId="26" fillId="0" borderId="67" xfId="0" applyNumberFormat="1" applyFont="1" applyFill="1" applyBorder="1" applyAlignment="1">
      <alignment horizontal="right" vertical="center"/>
    </xf>
    <xf numFmtId="179" fontId="26" fillId="5" borderId="109" xfId="0" applyNumberFormat="1" applyFont="1" applyFill="1" applyBorder="1" applyAlignment="1">
      <alignment horizontal="right" vertical="center"/>
    </xf>
    <xf numFmtId="193" fontId="26" fillId="5" borderId="134" xfId="0" applyNumberFormat="1" applyFont="1" applyFill="1" applyBorder="1" applyAlignment="1">
      <alignment vertical="center"/>
    </xf>
    <xf numFmtId="177" fontId="0" fillId="0" borderId="0" xfId="0" applyNumberFormat="1" applyFont="1"/>
    <xf numFmtId="193" fontId="26" fillId="5" borderId="55" xfId="0" applyNumberFormat="1" applyFont="1" applyFill="1" applyBorder="1" applyAlignment="1">
      <alignment vertical="center"/>
    </xf>
    <xf numFmtId="0" fontId="28" fillId="5" borderId="0" xfId="0" applyFont="1" applyFill="1"/>
    <xf numFmtId="185" fontId="26" fillId="5" borderId="69" xfId="0" applyNumberFormat="1" applyFont="1" applyFill="1" applyBorder="1" applyAlignment="1">
      <alignment vertical="center"/>
    </xf>
    <xf numFmtId="189" fontId="26" fillId="0" borderId="56" xfId="0" applyNumberFormat="1" applyFont="1" applyFill="1" applyBorder="1"/>
    <xf numFmtId="193" fontId="26" fillId="0" borderId="56" xfId="0" applyNumberFormat="1" applyFont="1" applyFill="1" applyBorder="1" applyAlignment="1">
      <alignment vertical="center"/>
    </xf>
    <xf numFmtId="193" fontId="26" fillId="0" borderId="57" xfId="1" applyNumberFormat="1" applyFont="1" applyFill="1" applyBorder="1" applyAlignment="1">
      <alignment vertical="center"/>
    </xf>
    <xf numFmtId="189" fontId="26" fillId="0" borderId="56" xfId="0" applyNumberFormat="1" applyFont="1" applyFill="1" applyBorder="1" applyAlignment="1">
      <alignment vertical="center"/>
    </xf>
    <xf numFmtId="189" fontId="26" fillId="0" borderId="67" xfId="1" applyNumberFormat="1" applyFont="1" applyFill="1" applyBorder="1" applyAlignment="1">
      <alignment vertical="center"/>
    </xf>
    <xf numFmtId="189" fontId="26" fillId="0" borderId="56" xfId="1" applyNumberFormat="1" applyFont="1" applyFill="1" applyBorder="1" applyAlignment="1">
      <alignment vertical="center"/>
    </xf>
    <xf numFmtId="189" fontId="26" fillId="0" borderId="64" xfId="1" applyNumberFormat="1" applyFont="1" applyFill="1" applyBorder="1" applyAlignment="1">
      <alignment vertical="center"/>
    </xf>
    <xf numFmtId="193" fontId="26" fillId="0" borderId="57" xfId="0" applyNumberFormat="1" applyFont="1" applyFill="1" applyBorder="1" applyAlignment="1">
      <alignment vertical="center"/>
    </xf>
    <xf numFmtId="185" fontId="26" fillId="5" borderId="147" xfId="0" applyNumberFormat="1" applyFont="1" applyFill="1" applyBorder="1" applyAlignment="1">
      <alignment vertical="center"/>
    </xf>
    <xf numFmtId="179" fontId="26" fillId="5" borderId="117" xfId="0" applyNumberFormat="1" applyFont="1" applyFill="1" applyBorder="1" applyAlignment="1">
      <alignment horizontal="right" vertical="center"/>
    </xf>
    <xf numFmtId="179" fontId="26" fillId="5" borderId="93" xfId="0" applyNumberFormat="1" applyFont="1" applyFill="1" applyBorder="1" applyAlignment="1">
      <alignment horizontal="right" vertical="center"/>
    </xf>
    <xf numFmtId="38" fontId="26" fillId="5" borderId="93" xfId="1" applyFont="1" applyFill="1" applyBorder="1" applyAlignment="1">
      <alignment horizontal="right" vertical="center"/>
    </xf>
    <xf numFmtId="0" fontId="14" fillId="5" borderId="65" xfId="0" applyFont="1" applyFill="1" applyBorder="1"/>
    <xf numFmtId="189" fontId="26" fillId="5" borderId="69" xfId="1" applyNumberFormat="1" applyFont="1" applyFill="1" applyBorder="1" applyAlignment="1">
      <alignment vertical="center"/>
    </xf>
    <xf numFmtId="189" fontId="26" fillId="0" borderId="64" xfId="0" applyNumberFormat="1" applyFont="1" applyFill="1" applyBorder="1" applyAlignment="1">
      <alignment vertical="center"/>
    </xf>
    <xf numFmtId="193" fontId="26" fillId="0" borderId="64" xfId="0" applyNumberFormat="1" applyFont="1" applyFill="1" applyBorder="1" applyAlignment="1">
      <alignment vertical="center"/>
    </xf>
    <xf numFmtId="193" fontId="26" fillId="0" borderId="65" xfId="0" applyNumberFormat="1" applyFont="1" applyFill="1" applyBorder="1" applyAlignment="1">
      <alignment vertical="center"/>
    </xf>
    <xf numFmtId="189" fontId="26" fillId="0" borderId="67" xfId="0" applyNumberFormat="1" applyFont="1" applyFill="1" applyBorder="1" applyAlignment="1">
      <alignment vertical="center"/>
    </xf>
    <xf numFmtId="56" fontId="26" fillId="5" borderId="93" xfId="0" applyNumberFormat="1" applyFont="1" applyFill="1" applyBorder="1" applyAlignment="1">
      <alignment horizontal="right"/>
    </xf>
    <xf numFmtId="183" fontId="26" fillId="5" borderId="93" xfId="0" applyNumberFormat="1" applyFont="1" applyFill="1" applyBorder="1" applyAlignment="1">
      <alignment horizontal="right" vertical="center"/>
    </xf>
    <xf numFmtId="184" fontId="26" fillId="5" borderId="93" xfId="1" applyNumberFormat="1" applyFont="1" applyFill="1" applyBorder="1" applyAlignment="1">
      <alignment vertical="center"/>
    </xf>
    <xf numFmtId="185" fontId="26" fillId="5" borderId="60" xfId="0" applyNumberFormat="1" applyFont="1" applyFill="1" applyBorder="1" applyAlignment="1">
      <alignment vertical="center"/>
    </xf>
    <xf numFmtId="184" fontId="37" fillId="5" borderId="40" xfId="1" applyNumberFormat="1" applyFont="1" applyFill="1" applyBorder="1" applyAlignment="1">
      <alignment vertical="center"/>
    </xf>
    <xf numFmtId="185" fontId="37" fillId="5" borderId="40" xfId="0" applyNumberFormat="1" applyFont="1" applyFill="1" applyBorder="1" applyAlignment="1">
      <alignment vertical="center"/>
    </xf>
    <xf numFmtId="189" fontId="26" fillId="5" borderId="93" xfId="1" applyNumberFormat="1" applyFont="1" applyFill="1" applyBorder="1" applyAlignment="1">
      <alignment horizontal="right"/>
    </xf>
    <xf numFmtId="189" fontId="26" fillId="5" borderId="93" xfId="1" applyNumberFormat="1" applyFont="1" applyFill="1" applyBorder="1"/>
    <xf numFmtId="189" fontId="26" fillId="5" borderId="93" xfId="1" applyNumberFormat="1" applyFont="1" applyFill="1" applyBorder="1" applyAlignment="1">
      <alignment vertical="center"/>
    </xf>
    <xf numFmtId="193" fontId="26" fillId="5" borderId="93" xfId="0" applyNumberFormat="1" applyFont="1" applyFill="1" applyBorder="1" applyAlignment="1">
      <alignment vertical="center"/>
    </xf>
    <xf numFmtId="193" fontId="26" fillId="5" borderId="60" xfId="1" applyNumberFormat="1" applyFont="1" applyFill="1" applyBorder="1" applyAlignment="1">
      <alignment vertical="center"/>
    </xf>
    <xf numFmtId="179" fontId="26" fillId="5" borderId="93" xfId="1" applyNumberFormat="1" applyFont="1" applyFill="1" applyBorder="1" applyAlignment="1">
      <alignment horizontal="right" vertical="center"/>
    </xf>
    <xf numFmtId="177" fontId="26" fillId="5" borderId="93" xfId="1" applyNumberFormat="1" applyFont="1" applyFill="1" applyBorder="1" applyAlignment="1">
      <alignment horizontal="right" vertical="center"/>
    </xf>
    <xf numFmtId="177" fontId="26" fillId="5" borderId="93" xfId="0" applyNumberFormat="1" applyFont="1" applyFill="1" applyBorder="1" applyAlignment="1">
      <alignment horizontal="right" vertical="center"/>
    </xf>
    <xf numFmtId="193" fontId="26" fillId="5" borderId="88" xfId="0" applyNumberFormat="1" applyFont="1" applyFill="1" applyBorder="1" applyAlignment="1">
      <alignment vertical="center"/>
    </xf>
    <xf numFmtId="189" fontId="26" fillId="0" borderId="93" xfId="0" applyNumberFormat="1" applyFont="1" applyFill="1" applyBorder="1" applyAlignment="1">
      <alignment vertical="center"/>
    </xf>
    <xf numFmtId="193" fontId="26" fillId="0" borderId="93" xfId="0" applyNumberFormat="1" applyFont="1" applyFill="1" applyBorder="1" applyAlignment="1">
      <alignment vertical="center"/>
    </xf>
    <xf numFmtId="193" fontId="26" fillId="0" borderId="60" xfId="0" applyNumberFormat="1" applyFont="1" applyFill="1" applyBorder="1" applyAlignment="1">
      <alignment vertical="center"/>
    </xf>
    <xf numFmtId="185" fontId="0" fillId="0" borderId="0" xfId="0" applyNumberFormat="1" applyFont="1"/>
    <xf numFmtId="189" fontId="29" fillId="5" borderId="56" xfId="1" applyNumberFormat="1" applyFont="1" applyFill="1" applyBorder="1" applyAlignment="1">
      <alignment horizontal="right"/>
    </xf>
    <xf numFmtId="189" fontId="29" fillId="5" borderId="56" xfId="1" applyNumberFormat="1" applyFont="1" applyFill="1" applyBorder="1"/>
    <xf numFmtId="189" fontId="29" fillId="0" borderId="56" xfId="1" applyNumberFormat="1" applyFont="1" applyFill="1" applyBorder="1" applyAlignment="1">
      <alignment vertical="center"/>
    </xf>
    <xf numFmtId="189" fontId="29" fillId="5" borderId="56" xfId="1" applyNumberFormat="1" applyFont="1" applyFill="1" applyBorder="1" applyAlignment="1">
      <alignment vertical="center"/>
    </xf>
    <xf numFmtId="189" fontId="29" fillId="0" borderId="56" xfId="0" applyNumberFormat="1" applyFont="1" applyFill="1" applyBorder="1"/>
    <xf numFmtId="193" fontId="29" fillId="0" borderId="56" xfId="0" applyNumberFormat="1" applyFont="1" applyFill="1" applyBorder="1" applyAlignment="1">
      <alignment vertical="center"/>
    </xf>
    <xf numFmtId="193" fontId="29" fillId="0" borderId="57" xfId="1" applyNumberFormat="1" applyFont="1" applyFill="1" applyBorder="1" applyAlignment="1">
      <alignment vertical="center"/>
    </xf>
    <xf numFmtId="189" fontId="29" fillId="5" borderId="93" xfId="1" applyNumberFormat="1" applyFont="1" applyFill="1" applyBorder="1" applyAlignment="1">
      <alignment horizontal="right"/>
    </xf>
    <xf numFmtId="189" fontId="29" fillId="5" borderId="93" xfId="1" applyNumberFormat="1" applyFont="1" applyFill="1" applyBorder="1"/>
    <xf numFmtId="189" fontId="29" fillId="5" borderId="93" xfId="1" applyNumberFormat="1" applyFont="1" applyFill="1" applyBorder="1" applyAlignment="1">
      <alignment vertical="center"/>
    </xf>
    <xf numFmtId="189" fontId="29" fillId="5" borderId="93" xfId="0" applyNumberFormat="1" applyFont="1" applyFill="1" applyBorder="1"/>
    <xf numFmtId="193" fontId="29" fillId="5" borderId="93" xfId="0" applyNumberFormat="1" applyFont="1" applyFill="1" applyBorder="1" applyAlignment="1">
      <alignment vertical="center"/>
    </xf>
    <xf numFmtId="193" fontId="29" fillId="5" borderId="60" xfId="1" applyNumberFormat="1" applyFont="1" applyFill="1" applyBorder="1" applyAlignment="1">
      <alignment vertical="center"/>
    </xf>
    <xf numFmtId="179" fontId="29" fillId="5" borderId="134" xfId="0" applyNumberFormat="1" applyFont="1" applyFill="1" applyBorder="1" applyAlignment="1">
      <alignment horizontal="right" vertical="center"/>
    </xf>
    <xf numFmtId="179" fontId="29" fillId="5" borderId="56" xfId="0" applyNumberFormat="1" applyFont="1" applyFill="1" applyBorder="1" applyAlignment="1">
      <alignment horizontal="right" vertical="center"/>
    </xf>
    <xf numFmtId="38" fontId="29" fillId="0" borderId="56" xfId="1" applyFont="1" applyFill="1" applyBorder="1" applyAlignment="1">
      <alignment horizontal="right" vertical="center"/>
    </xf>
    <xf numFmtId="179" fontId="29" fillId="0" borderId="56" xfId="0" applyNumberFormat="1" applyFont="1" applyFill="1" applyBorder="1" applyAlignment="1">
      <alignment horizontal="right" vertical="center"/>
    </xf>
    <xf numFmtId="38" fontId="29" fillId="5" borderId="56" xfId="1" applyFont="1" applyFill="1" applyBorder="1" applyAlignment="1">
      <alignment horizontal="right" vertical="center"/>
    </xf>
    <xf numFmtId="179" fontId="29" fillId="5" borderId="56" xfId="1" applyNumberFormat="1" applyFont="1" applyFill="1" applyBorder="1" applyAlignment="1">
      <alignment horizontal="right" vertical="center"/>
    </xf>
    <xf numFmtId="177" fontId="29" fillId="5" borderId="56" xfId="1" applyNumberFormat="1" applyFont="1" applyFill="1" applyBorder="1" applyAlignment="1">
      <alignment horizontal="right" vertical="center"/>
    </xf>
    <xf numFmtId="188" fontId="29" fillId="5" borderId="56" xfId="0" applyNumberFormat="1" applyFont="1" applyFill="1" applyBorder="1" applyAlignment="1">
      <alignment horizontal="right" vertical="center"/>
    </xf>
    <xf numFmtId="56" fontId="29" fillId="5" borderId="56" xfId="0" applyNumberFormat="1" applyFont="1" applyFill="1" applyBorder="1" applyAlignment="1">
      <alignment horizontal="right"/>
    </xf>
    <xf numFmtId="183" fontId="29" fillId="5" borderId="56" xfId="0" applyNumberFormat="1" applyFont="1" applyFill="1" applyBorder="1" applyAlignment="1">
      <alignment horizontal="right" vertical="center"/>
    </xf>
    <xf numFmtId="184" fontId="29" fillId="5" borderId="56" xfId="1" applyNumberFormat="1" applyFont="1" applyFill="1" applyBorder="1" applyAlignment="1">
      <alignment vertical="center"/>
    </xf>
    <xf numFmtId="185" fontId="29" fillId="5" borderId="57" xfId="0" applyNumberFormat="1" applyFont="1" applyFill="1" applyBorder="1" applyAlignment="1">
      <alignment vertical="center"/>
    </xf>
    <xf numFmtId="177" fontId="29" fillId="5" borderId="56" xfId="0" applyNumberFormat="1" applyFont="1" applyFill="1" applyBorder="1" applyAlignment="1">
      <alignment horizontal="right" vertical="center"/>
    </xf>
    <xf numFmtId="179" fontId="29" fillId="5" borderId="117" xfId="0" applyNumberFormat="1" applyFont="1" applyFill="1" applyBorder="1" applyAlignment="1">
      <alignment horizontal="right" vertical="center"/>
    </xf>
    <xf numFmtId="179" fontId="29" fillId="5" borderId="93" xfId="0" applyNumberFormat="1" applyFont="1" applyFill="1" applyBorder="1" applyAlignment="1">
      <alignment horizontal="right" vertical="center"/>
    </xf>
    <xf numFmtId="38" fontId="29" fillId="5" borderId="93" xfId="1" applyFont="1" applyFill="1" applyBorder="1" applyAlignment="1">
      <alignment horizontal="right" vertical="center"/>
    </xf>
    <xf numFmtId="179" fontId="29" fillId="5" borderId="93" xfId="1" applyNumberFormat="1" applyFont="1" applyFill="1" applyBorder="1" applyAlignment="1">
      <alignment horizontal="right" vertical="center"/>
    </xf>
    <xf numFmtId="177" fontId="29" fillId="5" borderId="93" xfId="1" applyNumberFormat="1" applyFont="1" applyFill="1" applyBorder="1" applyAlignment="1">
      <alignment horizontal="right" vertical="center"/>
    </xf>
    <xf numFmtId="177" fontId="29" fillId="5" borderId="93" xfId="0" applyNumberFormat="1" applyFont="1" applyFill="1" applyBorder="1" applyAlignment="1">
      <alignment horizontal="right" vertical="center"/>
    </xf>
    <xf numFmtId="56" fontId="29" fillId="5" borderId="93" xfId="0" applyNumberFormat="1" applyFont="1" applyFill="1" applyBorder="1" applyAlignment="1">
      <alignment horizontal="right"/>
    </xf>
    <xf numFmtId="183" fontId="29" fillId="5" borderId="93" xfId="0" applyNumberFormat="1" applyFont="1" applyFill="1" applyBorder="1" applyAlignment="1">
      <alignment horizontal="right" vertical="center"/>
    </xf>
    <xf numFmtId="184" fontId="29" fillId="5" borderId="93" xfId="1" applyNumberFormat="1" applyFont="1" applyFill="1" applyBorder="1" applyAlignment="1">
      <alignment vertical="center"/>
    </xf>
    <xf numFmtId="185" fontId="29" fillId="5" borderId="60" xfId="0" applyNumberFormat="1" applyFont="1" applyFill="1" applyBorder="1" applyAlignment="1">
      <alignment vertical="center"/>
    </xf>
    <xf numFmtId="189" fontId="26" fillId="0" borderId="58" xfId="0" applyNumberFormat="1" applyFont="1" applyFill="1" applyBorder="1" applyAlignment="1">
      <alignment vertical="center"/>
    </xf>
    <xf numFmtId="193" fontId="29" fillId="5" borderId="134" xfId="0" applyNumberFormat="1" applyFont="1" applyFill="1" applyBorder="1" applyAlignment="1">
      <alignment vertical="center"/>
    </xf>
    <xf numFmtId="189" fontId="29" fillId="5" borderId="56" xfId="0" applyNumberFormat="1" applyFont="1" applyFill="1" applyBorder="1" applyAlignment="1">
      <alignment vertical="center"/>
    </xf>
    <xf numFmtId="189" fontId="29" fillId="0" borderId="56" xfId="0" applyNumberFormat="1" applyFont="1" applyFill="1" applyBorder="1" applyAlignment="1">
      <alignment vertical="center"/>
    </xf>
    <xf numFmtId="193" fontId="29" fillId="0" borderId="57" xfId="0" applyNumberFormat="1" applyFont="1" applyFill="1" applyBorder="1" applyAlignment="1">
      <alignment vertical="center"/>
    </xf>
    <xf numFmtId="193" fontId="29" fillId="5" borderId="117" xfId="0" applyNumberFormat="1" applyFont="1" applyFill="1" applyBorder="1" applyAlignment="1">
      <alignment vertical="center"/>
    </xf>
    <xf numFmtId="189" fontId="29" fillId="5" borderId="93" xfId="0" applyNumberFormat="1" applyFont="1" applyFill="1" applyBorder="1" applyAlignment="1">
      <alignment vertical="center"/>
    </xf>
    <xf numFmtId="189" fontId="29" fillId="0" borderId="93" xfId="0" applyNumberFormat="1" applyFont="1" applyFill="1" applyBorder="1" applyAlignment="1">
      <alignment vertical="center"/>
    </xf>
    <xf numFmtId="193" fontId="29" fillId="0" borderId="93" xfId="0" applyNumberFormat="1" applyFont="1" applyFill="1" applyBorder="1" applyAlignment="1">
      <alignment vertical="center"/>
    </xf>
    <xf numFmtId="193" fontId="29" fillId="0" borderId="60" xfId="0" applyNumberFormat="1" applyFont="1" applyFill="1" applyBorder="1" applyAlignment="1">
      <alignment vertical="center"/>
    </xf>
    <xf numFmtId="0" fontId="14" fillId="5" borderId="130" xfId="0" applyFont="1" applyFill="1" applyBorder="1" applyAlignment="1">
      <alignment horizontal="center" vertical="center" wrapText="1"/>
    </xf>
    <xf numFmtId="0" fontId="14" fillId="5" borderId="131" xfId="0" applyFont="1" applyFill="1" applyBorder="1" applyAlignment="1">
      <alignment horizontal="center" vertical="center" wrapText="1"/>
    </xf>
    <xf numFmtId="0" fontId="14" fillId="5" borderId="132" xfId="0" applyFont="1" applyFill="1" applyBorder="1" applyAlignment="1">
      <alignment horizontal="center" vertical="center" wrapText="1"/>
    </xf>
    <xf numFmtId="0" fontId="27" fillId="7" borderId="86" xfId="0" applyFont="1" applyFill="1" applyBorder="1" applyAlignment="1">
      <alignment horizontal="center" vertical="center" wrapText="1" shrinkToFit="1"/>
    </xf>
    <xf numFmtId="0" fontId="27" fillId="7" borderId="86" xfId="0" applyFont="1" applyFill="1" applyBorder="1" applyAlignment="1">
      <alignment horizontal="center" vertical="center" shrinkToFit="1"/>
    </xf>
    <xf numFmtId="0" fontId="17" fillId="6" borderId="48" xfId="0" applyFont="1" applyFill="1" applyBorder="1" applyAlignment="1">
      <alignment horizontal="center" vertical="center" wrapText="1"/>
    </xf>
    <xf numFmtId="0" fontId="17" fillId="6" borderId="71" xfId="0" applyFont="1" applyFill="1" applyBorder="1" applyAlignment="1">
      <alignment horizontal="center" vertical="center" wrapText="1"/>
    </xf>
    <xf numFmtId="0" fontId="27" fillId="7" borderId="85" xfId="0" applyFont="1" applyFill="1" applyBorder="1" applyAlignment="1">
      <alignment horizontal="center" vertical="center"/>
    </xf>
    <xf numFmtId="0" fontId="27" fillId="7" borderId="86" xfId="0" applyFont="1" applyFill="1" applyBorder="1" applyAlignment="1">
      <alignment horizontal="center" vertical="center"/>
    </xf>
    <xf numFmtId="0" fontId="15" fillId="6" borderId="77" xfId="0" applyFont="1" applyFill="1" applyBorder="1" applyAlignment="1">
      <alignment horizontal="center" vertical="center"/>
    </xf>
    <xf numFmtId="0" fontId="15" fillId="6" borderId="78" xfId="0" applyFont="1" applyFill="1" applyBorder="1" applyAlignment="1">
      <alignment horizontal="center" vertical="center"/>
    </xf>
    <xf numFmtId="0" fontId="27" fillId="7" borderId="86" xfId="0" applyFont="1" applyFill="1" applyBorder="1" applyAlignment="1">
      <alignment horizontal="center" vertical="center" wrapText="1"/>
    </xf>
    <xf numFmtId="0" fontId="27" fillId="8" borderId="86" xfId="0" applyFont="1" applyFill="1" applyBorder="1" applyAlignment="1">
      <alignment horizontal="center" vertical="center" wrapText="1"/>
    </xf>
    <xf numFmtId="0" fontId="27" fillId="7" borderId="85" xfId="0" applyFont="1" applyFill="1" applyBorder="1" applyAlignment="1">
      <alignment horizontal="center" vertical="center" wrapText="1" shrinkToFit="1"/>
    </xf>
    <xf numFmtId="0" fontId="27" fillId="7" borderId="85" xfId="0" applyFont="1" applyFill="1" applyBorder="1" applyAlignment="1">
      <alignment horizontal="center" vertical="center" shrinkToFit="1"/>
    </xf>
    <xf numFmtId="0" fontId="27" fillId="7" borderId="87" xfId="0" applyFont="1" applyFill="1" applyBorder="1" applyAlignment="1">
      <alignment horizontal="center" vertical="center" wrapText="1" shrinkToFit="1"/>
    </xf>
    <xf numFmtId="0" fontId="17" fillId="6" borderId="53" xfId="0" applyFont="1" applyFill="1" applyBorder="1" applyAlignment="1">
      <alignment horizontal="center" vertical="center"/>
    </xf>
    <xf numFmtId="0" fontId="17" fillId="6" borderId="70" xfId="0" applyFont="1" applyFill="1" applyBorder="1" applyAlignment="1">
      <alignment horizontal="center" vertical="center"/>
    </xf>
    <xf numFmtId="0" fontId="17" fillId="6" borderId="66" xfId="0" applyFont="1" applyFill="1" applyBorder="1" applyAlignment="1">
      <alignment horizontal="center" vertical="center" wrapText="1"/>
    </xf>
    <xf numFmtId="0" fontId="17" fillId="6" borderId="62" xfId="0" applyFont="1" applyFill="1" applyBorder="1" applyAlignment="1">
      <alignment horizontal="center" vertical="center" wrapText="1"/>
    </xf>
    <xf numFmtId="0" fontId="27" fillId="7" borderId="85" xfId="0" applyFont="1" applyFill="1" applyBorder="1" applyAlignment="1">
      <alignment horizontal="center" vertical="center" wrapText="1"/>
    </xf>
    <xf numFmtId="0" fontId="27" fillId="8" borderId="87" xfId="0" quotePrefix="1" applyFont="1" applyFill="1" applyBorder="1" applyAlignment="1">
      <alignment horizontal="center" vertical="center" wrapText="1"/>
    </xf>
    <xf numFmtId="0" fontId="27" fillId="8" borderId="91" xfId="0" quotePrefix="1" applyFont="1" applyFill="1" applyBorder="1" applyAlignment="1">
      <alignment horizontal="center" vertical="center" wrapText="1"/>
    </xf>
    <xf numFmtId="0" fontId="27" fillId="8" borderId="90" xfId="0" applyFont="1" applyFill="1" applyBorder="1" applyAlignment="1">
      <alignment horizontal="center" vertical="center" wrapText="1"/>
    </xf>
    <xf numFmtId="0" fontId="17" fillId="6" borderId="48" xfId="0" applyFont="1" applyFill="1" applyBorder="1" applyAlignment="1">
      <alignment horizontal="center" vertical="center"/>
    </xf>
    <xf numFmtId="0" fontId="17" fillId="6" borderId="71" xfId="0" applyFont="1" applyFill="1" applyBorder="1" applyAlignment="1">
      <alignment horizontal="center" vertical="center"/>
    </xf>
    <xf numFmtId="0" fontId="17" fillId="6" borderId="47" xfId="0" applyFont="1" applyFill="1" applyBorder="1" applyAlignment="1">
      <alignment horizontal="center" vertical="center"/>
    </xf>
    <xf numFmtId="0" fontId="17" fillId="6" borderId="72" xfId="0" applyFont="1" applyFill="1" applyBorder="1" applyAlignment="1">
      <alignment horizontal="center" vertical="center"/>
    </xf>
    <xf numFmtId="0" fontId="27" fillId="7" borderId="87" xfId="0" applyFont="1" applyFill="1" applyBorder="1" applyAlignment="1">
      <alignment horizontal="center" vertical="center"/>
    </xf>
    <xf numFmtId="0" fontId="27" fillId="7" borderId="82" xfId="0" applyFont="1" applyFill="1" applyBorder="1" applyAlignment="1">
      <alignment horizontal="center" vertical="center"/>
    </xf>
    <xf numFmtId="0" fontId="27" fillId="7" borderId="83" xfId="0" applyFont="1" applyFill="1" applyBorder="1" applyAlignment="1">
      <alignment horizontal="center" vertical="center"/>
    </xf>
    <xf numFmtId="0" fontId="27" fillId="7" borderId="84" xfId="0" applyFont="1" applyFill="1" applyBorder="1" applyAlignment="1">
      <alignment horizontal="center" vertical="center"/>
    </xf>
    <xf numFmtId="0" fontId="27" fillId="7" borderId="89" xfId="0" applyFont="1" applyFill="1" applyBorder="1" applyAlignment="1">
      <alignment horizontal="center" vertical="center" wrapText="1"/>
    </xf>
    <xf numFmtId="0" fontId="27" fillId="7" borderId="90" xfId="0" applyFont="1" applyFill="1" applyBorder="1" applyAlignment="1">
      <alignment horizontal="center" vertical="center" wrapText="1"/>
    </xf>
    <xf numFmtId="0" fontId="17" fillId="6" borderId="77" xfId="0" applyFont="1" applyFill="1" applyBorder="1" applyAlignment="1">
      <alignment horizontal="center" vertical="top"/>
    </xf>
    <xf numFmtId="0" fontId="17" fillId="6" borderId="81" xfId="0" applyFont="1" applyFill="1" applyBorder="1" applyAlignment="1">
      <alignment horizontal="center" vertical="top"/>
    </xf>
    <xf numFmtId="0" fontId="27" fillId="8" borderId="86" xfId="0" applyFont="1" applyFill="1" applyBorder="1" applyAlignment="1">
      <alignment horizontal="center" vertical="center"/>
    </xf>
    <xf numFmtId="0" fontId="17" fillId="6" borderId="45" xfId="0" applyFont="1" applyFill="1" applyBorder="1" applyAlignment="1">
      <alignment horizontal="center" vertical="center"/>
    </xf>
    <xf numFmtId="0" fontId="17" fillId="6" borderId="46" xfId="0" applyFont="1" applyFill="1" applyBorder="1" applyAlignment="1">
      <alignment horizontal="center" vertical="center"/>
    </xf>
    <xf numFmtId="0" fontId="17" fillId="6" borderId="50" xfId="0" applyFont="1" applyFill="1" applyBorder="1" applyAlignment="1">
      <alignment horizontal="center" vertical="center"/>
    </xf>
    <xf numFmtId="0" fontId="17" fillId="6" borderId="49" xfId="0" applyFont="1" applyFill="1" applyBorder="1" applyAlignment="1">
      <alignment horizontal="center" vertical="center"/>
    </xf>
    <xf numFmtId="0" fontId="27" fillId="8" borderId="87" xfId="0" applyFont="1" applyFill="1" applyBorder="1" applyAlignment="1">
      <alignment horizontal="center" vertical="center" wrapText="1"/>
    </xf>
    <xf numFmtId="0" fontId="27" fillId="8" borderId="87" xfId="0" applyFont="1" applyFill="1" applyBorder="1" applyAlignment="1">
      <alignment horizontal="center" vertical="center"/>
    </xf>
    <xf numFmtId="0" fontId="17" fillId="6" borderId="42" xfId="0" applyFont="1" applyFill="1" applyBorder="1" applyAlignment="1">
      <alignment horizontal="center" vertical="center" wrapText="1"/>
    </xf>
    <xf numFmtId="0" fontId="17" fillId="6" borderId="44" xfId="0" applyFont="1" applyFill="1" applyBorder="1" applyAlignment="1">
      <alignment horizontal="center" vertical="center" wrapText="1"/>
    </xf>
    <xf numFmtId="0" fontId="27" fillId="7" borderId="83" xfId="0" applyFont="1" applyFill="1" applyBorder="1" applyAlignment="1">
      <alignment vertical="center"/>
    </xf>
    <xf numFmtId="0" fontId="27" fillId="7" borderId="86" xfId="0" applyFont="1" applyFill="1" applyBorder="1" applyAlignment="1">
      <alignment vertical="center"/>
    </xf>
    <xf numFmtId="0" fontId="14" fillId="6" borderId="53" xfId="0" applyFont="1" applyFill="1" applyBorder="1" applyAlignment="1">
      <alignment horizontal="center" vertical="center"/>
    </xf>
    <xf numFmtId="0" fontId="14" fillId="6" borderId="70" xfId="0" applyFont="1" applyFill="1" applyBorder="1" applyAlignment="1">
      <alignment horizontal="center" vertical="center"/>
    </xf>
    <xf numFmtId="0" fontId="14" fillId="6" borderId="48" xfId="0" applyFont="1" applyFill="1" applyBorder="1" applyAlignment="1">
      <alignment horizontal="center" vertical="center"/>
    </xf>
    <xf numFmtId="0" fontId="14" fillId="6" borderId="71" xfId="0" applyFont="1" applyFill="1" applyBorder="1" applyAlignment="1">
      <alignment horizontal="center" vertical="center"/>
    </xf>
    <xf numFmtId="0" fontId="14" fillId="6" borderId="47" xfId="0" applyFont="1" applyFill="1" applyBorder="1" applyAlignment="1">
      <alignment horizontal="center" vertical="center"/>
    </xf>
    <xf numFmtId="0" fontId="14" fillId="6" borderId="72" xfId="0" applyFont="1" applyFill="1" applyBorder="1" applyAlignment="1">
      <alignment horizontal="center" vertical="center"/>
    </xf>
    <xf numFmtId="0" fontId="27" fillId="7" borderId="89" xfId="0" applyFont="1" applyFill="1" applyBorder="1" applyAlignment="1">
      <alignment horizontal="center" vertical="center" shrinkToFit="1"/>
    </xf>
    <xf numFmtId="189" fontId="27" fillId="7" borderId="86" xfId="0" applyNumberFormat="1" applyFont="1" applyFill="1" applyBorder="1" applyAlignment="1">
      <alignment horizontal="center" vertical="center" wrapText="1" shrinkToFit="1"/>
    </xf>
    <xf numFmtId="189" fontId="27" fillId="7" borderId="86" xfId="0" applyNumberFormat="1" applyFont="1" applyFill="1" applyBorder="1" applyAlignment="1">
      <alignment horizontal="center" vertical="center" shrinkToFit="1"/>
    </xf>
    <xf numFmtId="189" fontId="27" fillId="7" borderId="90" xfId="0" applyNumberFormat="1" applyFont="1" applyFill="1" applyBorder="1" applyAlignment="1">
      <alignment horizontal="center" vertical="center" shrinkToFit="1"/>
    </xf>
    <xf numFmtId="189" fontId="27" fillId="8" borderId="86" xfId="0" applyNumberFormat="1" applyFont="1" applyFill="1" applyBorder="1" applyAlignment="1">
      <alignment horizontal="center" vertical="center" wrapText="1" shrinkToFit="1"/>
    </xf>
    <xf numFmtId="189" fontId="27" fillId="8" borderId="86" xfId="0" applyNumberFormat="1" applyFont="1" applyFill="1" applyBorder="1" applyAlignment="1">
      <alignment horizontal="center" vertical="center" shrinkToFit="1"/>
    </xf>
    <xf numFmtId="189" fontId="27" fillId="8" borderId="90" xfId="0" applyNumberFormat="1" applyFont="1" applyFill="1" applyBorder="1" applyAlignment="1">
      <alignment horizontal="center" vertical="center" shrinkToFit="1"/>
    </xf>
    <xf numFmtId="0" fontId="27" fillId="8" borderId="86" xfId="0" applyFont="1" applyFill="1" applyBorder="1" applyAlignment="1">
      <alignment horizontal="center" vertical="center" shrinkToFit="1"/>
    </xf>
    <xf numFmtId="0" fontId="27" fillId="8" borderId="90" xfId="0" applyFont="1" applyFill="1" applyBorder="1" applyAlignment="1">
      <alignment horizontal="center" vertical="center" shrinkToFit="1"/>
    </xf>
    <xf numFmtId="0" fontId="27" fillId="8" borderId="87" xfId="0" applyFont="1" applyFill="1" applyBorder="1" applyAlignment="1">
      <alignment horizontal="center" vertical="center" shrinkToFit="1"/>
    </xf>
    <xf numFmtId="0" fontId="27" fillId="8" borderId="91" xfId="0" applyFont="1" applyFill="1" applyBorder="1" applyAlignment="1">
      <alignment horizontal="center" vertical="center" shrinkToFit="1"/>
    </xf>
    <xf numFmtId="0" fontId="31" fillId="5" borderId="0" xfId="0" applyFont="1" applyFill="1" applyAlignment="1">
      <alignment horizontal="left" vertical="center"/>
    </xf>
    <xf numFmtId="0" fontId="14" fillId="6" borderId="95" xfId="0" applyFont="1" applyFill="1" applyBorder="1" applyAlignment="1">
      <alignment horizontal="center" vertical="center"/>
    </xf>
    <xf numFmtId="0" fontId="14" fillId="6" borderId="26" xfId="0" applyFont="1" applyFill="1" applyBorder="1" applyAlignment="1">
      <alignment horizontal="center" vertical="center"/>
    </xf>
    <xf numFmtId="0" fontId="14" fillId="6" borderId="96" xfId="0" applyFont="1" applyFill="1" applyBorder="1" applyAlignment="1">
      <alignment horizontal="center" vertical="center"/>
    </xf>
    <xf numFmtId="0" fontId="14" fillId="6" borderId="49" xfId="0" applyFont="1" applyFill="1" applyBorder="1" applyAlignment="1">
      <alignment horizontal="center" vertical="center"/>
    </xf>
    <xf numFmtId="0" fontId="14" fillId="6" borderId="27" xfId="0" applyFont="1" applyFill="1" applyBorder="1" applyAlignment="1">
      <alignment horizontal="center" vertical="center"/>
    </xf>
    <xf numFmtId="0" fontId="14" fillId="6" borderId="28" xfId="0" applyFont="1" applyFill="1" applyBorder="1" applyAlignment="1">
      <alignment horizontal="center" vertical="center"/>
    </xf>
    <xf numFmtId="0" fontId="27" fillId="8" borderId="83" xfId="0" applyFont="1" applyFill="1" applyBorder="1" applyAlignment="1">
      <alignment horizontal="center" vertical="center"/>
    </xf>
    <xf numFmtId="0" fontId="27" fillId="8" borderId="83" xfId="0" applyFont="1" applyFill="1" applyBorder="1" applyAlignment="1">
      <alignment horizontal="center"/>
    </xf>
    <xf numFmtId="0" fontId="27" fillId="8" borderId="83" xfId="0" applyFont="1" applyFill="1" applyBorder="1" applyAlignment="1">
      <alignment horizontal="center" vertical="center" wrapText="1"/>
    </xf>
    <xf numFmtId="0" fontId="27" fillId="8" borderId="86" xfId="0" applyFont="1" applyFill="1" applyBorder="1" applyAlignment="1">
      <alignment horizontal="center" vertical="center" wrapText="1" shrinkToFit="1"/>
    </xf>
    <xf numFmtId="0" fontId="27" fillId="8" borderId="90" xfId="0" applyFont="1" applyFill="1" applyBorder="1" applyAlignment="1">
      <alignment horizontal="center" vertical="center" wrapText="1" shrinkToFit="1"/>
    </xf>
    <xf numFmtId="0" fontId="27" fillId="8" borderId="84" xfId="0" applyFont="1" applyFill="1" applyBorder="1" applyAlignment="1">
      <alignment horizontal="center" vertical="center" wrapText="1"/>
    </xf>
    <xf numFmtId="0" fontId="27" fillId="8" borderId="91" xfId="0" applyFont="1" applyFill="1" applyBorder="1" applyAlignment="1">
      <alignment horizontal="center" vertical="center" wrapText="1"/>
    </xf>
    <xf numFmtId="0" fontId="27" fillId="7" borderId="89" xfId="0" applyFont="1" applyFill="1" applyBorder="1" applyAlignment="1">
      <alignment horizontal="center" vertical="center" wrapText="1" shrinkToFit="1"/>
    </xf>
    <xf numFmtId="0" fontId="27" fillId="7" borderId="90" xfId="0" applyFont="1" applyFill="1" applyBorder="1" applyAlignment="1">
      <alignment horizontal="center" vertical="center" wrapText="1" shrinkToFit="1"/>
    </xf>
    <xf numFmtId="0" fontId="14" fillId="6" borderId="30" xfId="0" applyFont="1" applyFill="1" applyBorder="1" applyAlignment="1">
      <alignment horizontal="center"/>
    </xf>
    <xf numFmtId="0" fontId="14" fillId="6" borderId="31" xfId="0" applyFont="1" applyFill="1" applyBorder="1" applyAlignment="1">
      <alignment horizontal="center"/>
    </xf>
    <xf numFmtId="0" fontId="14" fillId="6" borderId="99" xfId="0" applyFont="1" applyFill="1" applyBorder="1" applyAlignment="1">
      <alignment horizontal="center"/>
    </xf>
    <xf numFmtId="0" fontId="14" fillId="6" borderId="100" xfId="0" applyFont="1" applyFill="1" applyBorder="1" applyAlignment="1">
      <alignment horizontal="center"/>
    </xf>
    <xf numFmtId="0" fontId="14" fillId="6" borderId="110" xfId="0" applyFont="1" applyFill="1" applyBorder="1" applyAlignment="1">
      <alignment horizontal="center" vertical="center"/>
    </xf>
    <xf numFmtId="0" fontId="14" fillId="6" borderId="111" xfId="0" applyFont="1" applyFill="1" applyBorder="1" applyAlignment="1">
      <alignment horizontal="center" vertical="center"/>
    </xf>
    <xf numFmtId="0" fontId="14" fillId="6" borderId="105" xfId="0" applyFont="1" applyFill="1" applyBorder="1" applyAlignment="1">
      <alignment horizontal="center" vertical="center"/>
    </xf>
    <xf numFmtId="0" fontId="14" fillId="6" borderId="38" xfId="0" applyFont="1" applyFill="1" applyBorder="1" applyAlignment="1">
      <alignment horizontal="center" vertical="center"/>
    </xf>
    <xf numFmtId="0" fontId="14" fillId="6" borderId="101" xfId="0" applyFont="1" applyFill="1" applyBorder="1" applyAlignment="1">
      <alignment horizontal="center"/>
    </xf>
    <xf numFmtId="0" fontId="14" fillId="6" borderId="102" xfId="0" applyFont="1" applyFill="1" applyBorder="1" applyAlignment="1">
      <alignment horizontal="center"/>
    </xf>
    <xf numFmtId="0" fontId="14" fillId="6" borderId="104" xfId="0" applyFont="1" applyFill="1" applyBorder="1" applyAlignment="1">
      <alignment horizontal="center"/>
    </xf>
    <xf numFmtId="0" fontId="14" fillId="6" borderId="29" xfId="0" applyFont="1" applyFill="1" applyBorder="1" applyAlignment="1">
      <alignment horizontal="center"/>
    </xf>
  </cellXfs>
  <cellStyles count="17">
    <cellStyle name="Background" xfId="10"/>
    <cellStyle name="Calc Currency (0)" xfId="2"/>
    <cellStyle name="Comma [0]" xfId="11"/>
    <cellStyle name="Currency [0]" xfId="12"/>
    <cellStyle name="Header1" xfId="3"/>
    <cellStyle name="Header2" xfId="4"/>
    <cellStyle name="Normal_#18-Internet" xfId="5"/>
    <cellStyle name="桁区切り" xfId="1" builtinId="6"/>
    <cellStyle name="桁区切り 2" xfId="6"/>
    <cellStyle name="桁区切り 2 2" xfId="14"/>
    <cellStyle name="桁区切り 3" xfId="13"/>
    <cellStyle name="標準" xfId="0" builtinId="0"/>
    <cellStyle name="標準 2" xfId="7"/>
    <cellStyle name="標準 2 2" xfId="15"/>
    <cellStyle name="標準 3" xfId="8"/>
    <cellStyle name="標準 3 2" xfId="16"/>
    <cellStyle name="標準 4" xfId="9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_backup\share\&#21332;&#35696;&#20250;(&#12475;&#12531;&#12479;&#12540;)\&#12495;&#12531;&#12489;&#12502;&#12483;&#12463;&#31995;data\&#34920;&#12487;&#12540;&#12479;\dat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（５）グラフ (3)"/>
      <sheetName val="１（４）グラフ（2） (2)"/>
      <sheetName val="小売動向ナチュラルチーズ2"/>
      <sheetName val="小売動向ナチュラルチーズ1"/>
      <sheetName val="１（１）データ"/>
      <sheetName val="１（２）データ"/>
      <sheetName val="１（３）"/>
      <sheetName val="１（３）後継者確保データ"/>
      <sheetName val="Sheet1 (2)"/>
      <sheetName val="１（４）グラフ（2）"/>
      <sheetName val="１（４）グラフ (3)"/>
      <sheetName val="１（４）データ２"/>
      <sheetName val="１（４）グラフ"/>
      <sheetName val="１（４）データ"/>
      <sheetName val="１（５）グラフ (2)"/>
      <sheetName val="１（５）牛群検定データ"/>
      <sheetName val="１－６全国"/>
      <sheetName val="生産量データ"/>
      <sheetName val="1-6（全国）"/>
      <sheetName val="1-6グラフ (2)"/>
      <sheetName val="1-6(北海道)"/>
      <sheetName val="1-6(都府県)"/>
      <sheetName val="1（6）データ (2)"/>
      <sheetName val="1-6グラフ"/>
      <sheetName val="１（７）データ (2)"/>
      <sheetName val="１（７）データ"/>
      <sheetName val="１（８）グラフF・SNF"/>
      <sheetName val="1-8表"/>
      <sheetName val="１（８）データ (2)"/>
      <sheetName val="１（８）データ"/>
      <sheetName val="フォーマット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/>
      <sheetData sheetId="7">
        <row r="16">
          <cell r="C16" t="str">
            <v>都府県計</v>
          </cell>
          <cell r="D16">
            <v>21309</v>
          </cell>
          <cell r="E16">
            <v>28.8</v>
          </cell>
        </row>
        <row r="17">
          <cell r="B17" t="str">
            <v>注）(　）内は前年比</v>
          </cell>
        </row>
        <row r="18">
          <cell r="B18" t="str">
            <v>資料：社団法人中央酪農会議調べ</v>
          </cell>
        </row>
      </sheetData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F106"/>
  <sheetViews>
    <sheetView showGridLines="0" workbookViewId="0">
      <selection activeCell="E10" sqref="E10"/>
    </sheetView>
  </sheetViews>
  <sheetFormatPr defaultRowHeight="11.25"/>
  <cols>
    <col min="1" max="1" width="3.625" style="3" customWidth="1"/>
    <col min="2" max="4" width="9" style="3"/>
    <col min="5" max="5" width="11.375" style="3" customWidth="1"/>
    <col min="6" max="8" width="9" style="3"/>
    <col min="9" max="9" width="10.5" style="3" customWidth="1"/>
    <col min="10" max="10" width="9" style="3"/>
    <col min="11" max="11" width="9.25" style="3" customWidth="1"/>
    <col min="12" max="19" width="9" style="3"/>
    <col min="20" max="20" width="4.875" style="3" customWidth="1"/>
    <col min="21" max="23" width="5.125" style="3" customWidth="1"/>
    <col min="24" max="25" width="4.875" style="3" customWidth="1"/>
    <col min="26" max="26" width="7.125" style="3" customWidth="1"/>
    <col min="27" max="16384" width="9" style="3"/>
  </cols>
  <sheetData>
    <row r="1" spans="1:3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32">
      <c r="B2" s="10" t="s">
        <v>120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32">
      <c r="B3" s="10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32">
      <c r="B4" s="43" t="s">
        <v>7</v>
      </c>
      <c r="C4" s="44" t="s">
        <v>74</v>
      </c>
      <c r="D4" s="45" t="s">
        <v>75</v>
      </c>
      <c r="E4" s="45" t="s">
        <v>76</v>
      </c>
      <c r="F4" s="44" t="s">
        <v>77</v>
      </c>
      <c r="G4" s="44" t="s">
        <v>78</v>
      </c>
      <c r="H4" s="44" t="s">
        <v>79</v>
      </c>
      <c r="I4" s="44" t="s">
        <v>2</v>
      </c>
      <c r="J4" s="44" t="s">
        <v>3</v>
      </c>
      <c r="K4" s="45" t="s">
        <v>80</v>
      </c>
      <c r="L4" s="44" t="s">
        <v>81</v>
      </c>
      <c r="M4" s="44" t="s">
        <v>82</v>
      </c>
      <c r="N4" s="44" t="s">
        <v>83</v>
      </c>
      <c r="O4" s="44" t="s">
        <v>84</v>
      </c>
      <c r="P4" s="44" t="s">
        <v>85</v>
      </c>
      <c r="Q4" s="44" t="s">
        <v>4</v>
      </c>
      <c r="R4" s="44" t="s">
        <v>5</v>
      </c>
      <c r="S4" s="46" t="s">
        <v>6</v>
      </c>
      <c r="T4" s="2"/>
      <c r="U4" s="2"/>
      <c r="V4" s="2"/>
      <c r="W4" s="2"/>
      <c r="X4" s="2"/>
      <c r="Y4" s="2"/>
      <c r="Z4" s="2"/>
    </row>
    <row r="5" spans="1:32" ht="31.5" customHeight="1">
      <c r="B5" s="54" t="s">
        <v>8</v>
      </c>
      <c r="C5" s="55" t="s">
        <v>31</v>
      </c>
      <c r="D5" s="56" t="s">
        <v>32</v>
      </c>
      <c r="E5" s="56" t="s">
        <v>33</v>
      </c>
      <c r="F5" s="57" t="s">
        <v>34</v>
      </c>
      <c r="G5" s="58" t="s">
        <v>35</v>
      </c>
      <c r="H5" s="58" t="s">
        <v>36</v>
      </c>
      <c r="I5" s="58" t="s">
        <v>37</v>
      </c>
      <c r="J5" s="58" t="s">
        <v>38</v>
      </c>
      <c r="K5" s="59" t="s">
        <v>55</v>
      </c>
      <c r="L5" s="57" t="s">
        <v>9</v>
      </c>
      <c r="M5" s="57" t="s">
        <v>10</v>
      </c>
      <c r="N5" s="58" t="s">
        <v>11</v>
      </c>
      <c r="O5" s="56" t="s">
        <v>12</v>
      </c>
      <c r="P5" s="56" t="s">
        <v>13</v>
      </c>
      <c r="Q5" s="56" t="s">
        <v>14</v>
      </c>
      <c r="R5" s="56" t="s">
        <v>15</v>
      </c>
      <c r="S5" s="60" t="s">
        <v>16</v>
      </c>
      <c r="T5" s="2"/>
      <c r="U5" s="2"/>
      <c r="V5" s="2"/>
      <c r="W5" s="2"/>
      <c r="X5" s="2"/>
      <c r="Y5" s="2"/>
      <c r="Z5" s="2"/>
    </row>
    <row r="6" spans="1:32">
      <c r="B6" s="34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6"/>
      <c r="T6" s="15"/>
      <c r="U6" s="15"/>
      <c r="V6" s="15"/>
      <c r="W6" s="15"/>
      <c r="X6" s="15"/>
      <c r="Y6" s="15"/>
      <c r="Z6" s="15"/>
      <c r="AA6" s="6"/>
      <c r="AB6" s="6"/>
      <c r="AC6" s="6"/>
      <c r="AD6" s="6"/>
      <c r="AE6" s="6"/>
      <c r="AF6" s="6"/>
    </row>
    <row r="7" spans="1:32">
      <c r="A7" s="11">
        <v>1</v>
      </c>
      <c r="B7" s="38">
        <v>38078</v>
      </c>
      <c r="C7" s="40">
        <v>97</v>
      </c>
      <c r="D7" s="40">
        <v>110.98492664943663</v>
      </c>
      <c r="E7" s="40">
        <v>99.61567109501361</v>
      </c>
      <c r="F7" s="40">
        <v>97.4</v>
      </c>
      <c r="G7" s="40">
        <v>99.8</v>
      </c>
      <c r="H7" s="40">
        <v>96.7</v>
      </c>
      <c r="I7" s="40">
        <v>97</v>
      </c>
      <c r="J7" s="40">
        <v>98.8</v>
      </c>
      <c r="K7" s="40">
        <v>109.28981307224252</v>
      </c>
      <c r="L7" s="40">
        <v>95.7</v>
      </c>
      <c r="M7" s="40">
        <v>98</v>
      </c>
      <c r="N7" s="40">
        <v>101.3</v>
      </c>
      <c r="O7" s="40">
        <v>99.113551977113772</v>
      </c>
      <c r="P7" s="40">
        <v>99.099455080714762</v>
      </c>
      <c r="Q7" s="40">
        <v>183.1797635605007</v>
      </c>
      <c r="R7" s="40">
        <v>98.724575678308952</v>
      </c>
      <c r="S7" s="42">
        <v>81.666666666666671</v>
      </c>
      <c r="T7" s="1"/>
      <c r="U7" s="16"/>
      <c r="V7" s="16"/>
      <c r="W7" s="1"/>
      <c r="X7" s="1"/>
      <c r="Y7" s="16"/>
      <c r="Z7" s="17"/>
      <c r="AA7" s="6"/>
      <c r="AB7" s="6"/>
      <c r="AC7" s="6"/>
      <c r="AD7" s="6"/>
      <c r="AE7" s="6"/>
      <c r="AF7" s="6"/>
    </row>
    <row r="8" spans="1:32">
      <c r="A8" s="11">
        <f>A7+1</f>
        <v>2</v>
      </c>
      <c r="B8" s="38">
        <v>38108</v>
      </c>
      <c r="C8" s="40">
        <v>97.1</v>
      </c>
      <c r="D8" s="40">
        <v>111.32468975282579</v>
      </c>
      <c r="E8" s="40">
        <v>99.515671095013616</v>
      </c>
      <c r="F8" s="40">
        <v>97.2</v>
      </c>
      <c r="G8" s="40">
        <v>100.2</v>
      </c>
      <c r="H8" s="40">
        <v>96.8</v>
      </c>
      <c r="I8" s="40">
        <v>97.1</v>
      </c>
      <c r="J8" s="40">
        <v>98.7</v>
      </c>
      <c r="K8" s="40">
        <v>109.62233434552191</v>
      </c>
      <c r="L8" s="40">
        <v>95.6</v>
      </c>
      <c r="M8" s="40">
        <v>97.9</v>
      </c>
      <c r="N8" s="40">
        <v>101.4</v>
      </c>
      <c r="O8" s="40">
        <v>99.460209162290411</v>
      </c>
      <c r="P8" s="40">
        <v>99.607852292209969</v>
      </c>
      <c r="Q8" s="40">
        <v>182.46696801112657</v>
      </c>
      <c r="R8" s="40">
        <v>98.947141682450493</v>
      </c>
      <c r="S8" s="42">
        <v>85</v>
      </c>
      <c r="T8" s="1"/>
      <c r="U8" s="16"/>
      <c r="V8" s="16"/>
      <c r="W8" s="1"/>
      <c r="X8" s="1"/>
      <c r="Y8" s="16"/>
      <c r="Z8" s="17"/>
      <c r="AA8" s="6"/>
      <c r="AB8" s="6"/>
      <c r="AC8" s="6"/>
      <c r="AD8" s="6"/>
      <c r="AE8" s="6"/>
      <c r="AF8" s="6"/>
    </row>
    <row r="9" spans="1:32">
      <c r="A9" s="11">
        <f t="shared" ref="A9:A50" si="0">A8+1</f>
        <v>3</v>
      </c>
      <c r="B9" s="38">
        <v>38139</v>
      </c>
      <c r="C9" s="40">
        <v>97.2</v>
      </c>
      <c r="D9" s="40">
        <v>112.2161484603389</v>
      </c>
      <c r="E9" s="40">
        <v>99.515671095013616</v>
      </c>
      <c r="F9" s="40">
        <v>97</v>
      </c>
      <c r="G9" s="40">
        <v>103</v>
      </c>
      <c r="H9" s="40">
        <v>96.8</v>
      </c>
      <c r="I9" s="40">
        <v>97.2</v>
      </c>
      <c r="J9" s="40">
        <v>98.8</v>
      </c>
      <c r="K9" s="40">
        <v>109.75453464340556</v>
      </c>
      <c r="L9" s="40">
        <v>95.6</v>
      </c>
      <c r="M9" s="40">
        <v>97.9</v>
      </c>
      <c r="N9" s="40">
        <v>101.7</v>
      </c>
      <c r="O9" s="40">
        <v>99.697100280227389</v>
      </c>
      <c r="P9" s="40">
        <v>100.37434388159821</v>
      </c>
      <c r="Q9" s="40">
        <v>177.52086230876216</v>
      </c>
      <c r="R9" s="40">
        <v>99.084858516615768</v>
      </c>
      <c r="S9" s="42">
        <v>85</v>
      </c>
      <c r="T9" s="16"/>
      <c r="U9" s="16"/>
      <c r="V9" s="16"/>
      <c r="W9" s="1"/>
      <c r="X9" s="1"/>
      <c r="Y9" s="16"/>
      <c r="Z9" s="17"/>
      <c r="AA9" s="6"/>
      <c r="AB9" s="6"/>
      <c r="AC9" s="6"/>
      <c r="AD9" s="6"/>
      <c r="AE9" s="6"/>
      <c r="AF9" s="6"/>
    </row>
    <row r="10" spans="1:32">
      <c r="A10" s="11">
        <f t="shared" si="0"/>
        <v>4</v>
      </c>
      <c r="B10" s="38">
        <v>38169</v>
      </c>
      <c r="C10" s="40">
        <v>97.1</v>
      </c>
      <c r="D10" s="40">
        <v>114.05196909639828</v>
      </c>
      <c r="E10" s="40">
        <v>99.782869071153087</v>
      </c>
      <c r="F10" s="40">
        <v>97.7</v>
      </c>
      <c r="G10" s="40">
        <v>104.1</v>
      </c>
      <c r="H10" s="40">
        <v>96.8</v>
      </c>
      <c r="I10" s="40">
        <v>97.1</v>
      </c>
      <c r="J10" s="40">
        <v>98.8</v>
      </c>
      <c r="K10" s="40">
        <v>110.06223227996443</v>
      </c>
      <c r="L10" s="40">
        <v>95.6</v>
      </c>
      <c r="M10" s="40">
        <v>97.8</v>
      </c>
      <c r="N10" s="40">
        <v>102.2</v>
      </c>
      <c r="O10" s="40">
        <v>99.967723278442065</v>
      </c>
      <c r="P10" s="40">
        <v>97.287548100881651</v>
      </c>
      <c r="Q10" s="40">
        <v>187.09144645340751</v>
      </c>
      <c r="R10" s="40">
        <v>99.452950094235717</v>
      </c>
      <c r="S10" s="42">
        <v>89.838709677419331</v>
      </c>
      <c r="T10" s="16"/>
      <c r="U10" s="1"/>
      <c r="V10" s="1"/>
      <c r="W10" s="1"/>
      <c r="X10" s="1"/>
      <c r="Y10" s="16"/>
      <c r="Z10" s="17"/>
      <c r="AA10" s="6"/>
      <c r="AB10" s="6"/>
      <c r="AC10" s="6"/>
      <c r="AD10" s="6"/>
      <c r="AE10" s="6"/>
      <c r="AF10" s="6"/>
    </row>
    <row r="11" spans="1:32">
      <c r="A11" s="11">
        <f t="shared" si="0"/>
        <v>5</v>
      </c>
      <c r="B11" s="38">
        <v>38200</v>
      </c>
      <c r="C11" s="40">
        <v>97.1</v>
      </c>
      <c r="D11" s="40">
        <v>113.97266855844808</v>
      </c>
      <c r="E11" s="40">
        <v>100.07662745206464</v>
      </c>
      <c r="F11" s="40">
        <v>97.7</v>
      </c>
      <c r="G11" s="40">
        <v>104.2</v>
      </c>
      <c r="H11" s="40">
        <v>96.9</v>
      </c>
      <c r="I11" s="40">
        <v>97.1</v>
      </c>
      <c r="J11" s="40">
        <v>98.8</v>
      </c>
      <c r="K11" s="40">
        <v>110.60373393679785</v>
      </c>
      <c r="L11" s="40">
        <v>95.5</v>
      </c>
      <c r="M11" s="40">
        <v>97.8</v>
      </c>
      <c r="N11" s="40">
        <v>102.3</v>
      </c>
      <c r="O11" s="40">
        <v>100.04419901860291</v>
      </c>
      <c r="P11" s="40">
        <v>96.785964803457986</v>
      </c>
      <c r="Q11" s="40">
        <v>187.0931849791377</v>
      </c>
      <c r="R11" s="40">
        <v>99.51206584138005</v>
      </c>
      <c r="S11" s="42">
        <v>100</v>
      </c>
      <c r="T11" s="16"/>
      <c r="U11" s="16"/>
      <c r="V11" s="16"/>
      <c r="W11" s="1"/>
      <c r="X11" s="1"/>
      <c r="Y11" s="16"/>
      <c r="Z11" s="17"/>
      <c r="AA11" s="6"/>
      <c r="AB11" s="6"/>
      <c r="AC11" s="6"/>
      <c r="AD11" s="6"/>
      <c r="AE11" s="6"/>
      <c r="AF11" s="6"/>
    </row>
    <row r="12" spans="1:32">
      <c r="A12" s="11">
        <f t="shared" si="0"/>
        <v>6</v>
      </c>
      <c r="B12" s="38">
        <v>38231</v>
      </c>
      <c r="C12" s="40">
        <v>97.1</v>
      </c>
      <c r="D12" s="40">
        <v>114.08011913278084</v>
      </c>
      <c r="E12" s="40">
        <v>100.34382542820411</v>
      </c>
      <c r="F12" s="40">
        <v>96.5</v>
      </c>
      <c r="G12" s="40">
        <v>107.8</v>
      </c>
      <c r="H12" s="40">
        <v>96.9</v>
      </c>
      <c r="I12" s="40">
        <v>97.1</v>
      </c>
      <c r="J12" s="40">
        <v>98.8</v>
      </c>
      <c r="K12" s="40">
        <v>111.28494071191879</v>
      </c>
      <c r="L12" s="40">
        <v>95.4</v>
      </c>
      <c r="M12" s="40">
        <v>97.7</v>
      </c>
      <c r="N12" s="40">
        <v>102.6</v>
      </c>
      <c r="O12" s="40">
        <v>100.12532021100789</v>
      </c>
      <c r="P12" s="40">
        <v>99.139095457753015</v>
      </c>
      <c r="Q12" s="40">
        <v>176.76460361613351</v>
      </c>
      <c r="R12" s="40">
        <v>99.302372523109099</v>
      </c>
      <c r="S12" s="42">
        <v>95</v>
      </c>
      <c r="T12" s="16"/>
      <c r="U12" s="16"/>
      <c r="V12" s="16"/>
      <c r="W12" s="16"/>
      <c r="X12" s="1"/>
      <c r="Y12" s="16"/>
      <c r="Z12" s="17"/>
      <c r="AA12" s="6"/>
      <c r="AB12" s="6"/>
      <c r="AC12" s="6"/>
      <c r="AD12" s="6"/>
      <c r="AE12" s="6"/>
      <c r="AF12" s="6"/>
    </row>
    <row r="13" spans="1:32" ht="13.5">
      <c r="A13" s="11">
        <f t="shared" si="0"/>
        <v>7</v>
      </c>
      <c r="B13" s="38">
        <v>38261</v>
      </c>
      <c r="C13" s="40">
        <v>97.1</v>
      </c>
      <c r="D13" s="40">
        <v>115.28956916505417</v>
      </c>
      <c r="E13" s="40">
        <v>100.56414421388777</v>
      </c>
      <c r="F13" s="40">
        <v>96.4</v>
      </c>
      <c r="G13" s="40">
        <v>107.8</v>
      </c>
      <c r="H13" s="40">
        <v>97</v>
      </c>
      <c r="I13" s="40">
        <v>97.1</v>
      </c>
      <c r="J13" s="40">
        <v>98.9</v>
      </c>
      <c r="K13" s="40">
        <v>111.84895682996385</v>
      </c>
      <c r="L13" s="40">
        <v>95.4</v>
      </c>
      <c r="M13" s="40">
        <v>97.7</v>
      </c>
      <c r="N13" s="40">
        <v>101.9</v>
      </c>
      <c r="O13" s="40">
        <v>100.32053614731275</v>
      </c>
      <c r="P13" s="40">
        <v>99.714451911422984</v>
      </c>
      <c r="Q13" s="40">
        <v>161.46557719054243</v>
      </c>
      <c r="R13" s="40">
        <v>99.430574441872764</v>
      </c>
      <c r="S13" s="42">
        <v>86.774193548387089</v>
      </c>
      <c r="T13" s="18"/>
      <c r="U13" s="18"/>
      <c r="V13" s="18"/>
      <c r="W13" s="18"/>
      <c r="X13" s="18"/>
      <c r="Y13" s="18"/>
      <c r="Z13" s="18"/>
      <c r="AA13" s="6"/>
      <c r="AB13" s="6"/>
      <c r="AC13" s="6"/>
      <c r="AD13" s="6"/>
      <c r="AE13" s="6"/>
      <c r="AF13" s="6"/>
    </row>
    <row r="14" spans="1:32" ht="13.5">
      <c r="A14" s="11">
        <f t="shared" si="0"/>
        <v>8</v>
      </c>
      <c r="B14" s="38">
        <v>38292</v>
      </c>
      <c r="C14" s="40">
        <v>97.1</v>
      </c>
      <c r="D14" s="40">
        <v>114.68334769302658</v>
      </c>
      <c r="E14" s="40">
        <v>100.63758380911567</v>
      </c>
      <c r="F14" s="40">
        <v>96.3</v>
      </c>
      <c r="G14" s="40">
        <v>108.6</v>
      </c>
      <c r="H14" s="40">
        <v>97.1</v>
      </c>
      <c r="I14" s="40">
        <v>97.1</v>
      </c>
      <c r="J14" s="40">
        <v>98.9</v>
      </c>
      <c r="K14" s="40">
        <v>112.30270981745967</v>
      </c>
      <c r="L14" s="40">
        <v>95.5</v>
      </c>
      <c r="M14" s="40">
        <v>97.7</v>
      </c>
      <c r="N14" s="40">
        <v>101.9</v>
      </c>
      <c r="O14" s="40">
        <v>100.5692621838723</v>
      </c>
      <c r="P14" s="40">
        <v>97.851303623544268</v>
      </c>
      <c r="Q14" s="40">
        <v>150.60848400556327</v>
      </c>
      <c r="R14" s="40">
        <v>99.600139668133295</v>
      </c>
      <c r="S14" s="42">
        <v>87.833333333333329</v>
      </c>
      <c r="T14" s="18"/>
      <c r="U14" s="18"/>
      <c r="V14" s="18"/>
      <c r="W14" s="18"/>
      <c r="X14" s="18"/>
      <c r="Y14" s="18"/>
      <c r="Z14" s="18"/>
      <c r="AA14" s="6"/>
      <c r="AB14" s="6"/>
      <c r="AC14" s="6"/>
      <c r="AD14" s="6"/>
      <c r="AE14" s="6"/>
      <c r="AF14" s="6"/>
    </row>
    <row r="15" spans="1:32" ht="13.5">
      <c r="A15" s="11">
        <f t="shared" si="0"/>
        <v>9</v>
      </c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 s="18"/>
      <c r="U15" s="18"/>
      <c r="V15" s="18"/>
      <c r="W15" s="18"/>
      <c r="X15" s="18"/>
      <c r="Y15" s="18"/>
      <c r="Z15" s="18"/>
      <c r="AA15" s="6"/>
      <c r="AB15" s="6"/>
      <c r="AC15" s="6"/>
      <c r="AD15" s="6"/>
      <c r="AE15" s="6"/>
      <c r="AF15" s="6"/>
    </row>
    <row r="16" spans="1:32" ht="13.5">
      <c r="A16" s="11">
        <f t="shared" si="0"/>
        <v>10</v>
      </c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 s="18"/>
      <c r="U16" s="18"/>
      <c r="V16" s="18"/>
      <c r="W16" s="18"/>
      <c r="X16" s="18"/>
      <c r="Y16" s="18"/>
      <c r="Z16" s="18"/>
      <c r="AA16" s="6"/>
      <c r="AB16" s="6"/>
      <c r="AC16" s="6"/>
      <c r="AD16" s="6"/>
      <c r="AE16" s="6"/>
      <c r="AF16" s="6"/>
    </row>
    <row r="17" spans="1:32" ht="13.5">
      <c r="A17" s="11">
        <f t="shared" si="0"/>
        <v>11</v>
      </c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 s="18"/>
      <c r="U17" s="18"/>
      <c r="V17" s="18"/>
      <c r="W17" s="18"/>
      <c r="X17" s="18"/>
      <c r="Y17" s="18"/>
      <c r="Z17" s="18"/>
      <c r="AA17" s="6"/>
      <c r="AB17" s="6"/>
      <c r="AC17" s="6"/>
      <c r="AD17" s="6"/>
      <c r="AE17" s="6"/>
      <c r="AF17" s="6"/>
    </row>
    <row r="18" spans="1:32" ht="13.5">
      <c r="A18" s="11">
        <f t="shared" si="0"/>
        <v>12</v>
      </c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 s="18"/>
      <c r="U18" s="18"/>
      <c r="V18" s="18"/>
      <c r="W18" s="18"/>
      <c r="X18" s="18"/>
      <c r="Y18" s="18"/>
      <c r="Z18" s="18"/>
      <c r="AA18" s="6"/>
      <c r="AB18" s="6"/>
      <c r="AC18" s="6"/>
      <c r="AD18" s="6"/>
      <c r="AE18" s="6"/>
      <c r="AF18" s="6"/>
    </row>
    <row r="19" spans="1:32" ht="13.5">
      <c r="A19" s="11">
        <f t="shared" si="0"/>
        <v>13</v>
      </c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 s="18"/>
      <c r="U19" s="18"/>
      <c r="V19" s="18"/>
      <c r="W19" s="18"/>
      <c r="X19" s="18"/>
      <c r="Y19" s="18"/>
      <c r="Z19" s="18"/>
      <c r="AA19" s="6"/>
      <c r="AB19" s="6"/>
      <c r="AC19" s="6"/>
      <c r="AD19" s="6"/>
      <c r="AE19" s="6"/>
      <c r="AF19" s="6"/>
    </row>
    <row r="20" spans="1:32" ht="13.5">
      <c r="A20" s="11">
        <f t="shared" si="0"/>
        <v>14</v>
      </c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 s="18"/>
      <c r="U20" s="18"/>
      <c r="V20" s="18"/>
      <c r="W20" s="18"/>
      <c r="X20" s="18"/>
      <c r="Y20" s="18"/>
      <c r="Z20" s="18"/>
      <c r="AA20" s="6"/>
      <c r="AB20" s="6"/>
      <c r="AC20" s="6"/>
      <c r="AD20" s="6"/>
      <c r="AE20" s="6"/>
    </row>
    <row r="21" spans="1:32" ht="13.5">
      <c r="A21" s="11">
        <f t="shared" si="0"/>
        <v>15</v>
      </c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 s="18"/>
      <c r="U21"/>
      <c r="V21"/>
      <c r="W21"/>
      <c r="X21"/>
      <c r="Y21"/>
      <c r="Z21"/>
    </row>
    <row r="22" spans="1:32" ht="13.5">
      <c r="A22" s="11">
        <f t="shared" si="0"/>
        <v>16</v>
      </c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 s="18"/>
      <c r="U22"/>
      <c r="V22"/>
      <c r="W22"/>
      <c r="X22"/>
      <c r="Y22"/>
      <c r="Z22"/>
    </row>
    <row r="23" spans="1:32" ht="13.5">
      <c r="A23" s="11">
        <f t="shared" si="0"/>
        <v>17</v>
      </c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32" ht="13.5">
      <c r="A24" s="11">
        <f t="shared" si="0"/>
        <v>18</v>
      </c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32" ht="13.5">
      <c r="A25" s="11">
        <f t="shared" si="0"/>
        <v>19</v>
      </c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32" ht="13.5">
      <c r="A26" s="11">
        <f t="shared" si="0"/>
        <v>20</v>
      </c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32" ht="13.5">
      <c r="A27" s="11">
        <f t="shared" si="0"/>
        <v>21</v>
      </c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32" ht="13.5">
      <c r="A28" s="11">
        <f t="shared" si="0"/>
        <v>22</v>
      </c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32" ht="13.5">
      <c r="A29" s="11">
        <f t="shared" si="0"/>
        <v>23</v>
      </c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32" ht="13.5">
      <c r="A30" s="11">
        <f t="shared" si="0"/>
        <v>24</v>
      </c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 s="4"/>
      <c r="U30" s="4"/>
      <c r="V30" s="4"/>
      <c r="W30" s="4"/>
      <c r="X30" s="4"/>
      <c r="Y30" s="4"/>
      <c r="Z30" s="4"/>
    </row>
    <row r="31" spans="1:32" ht="13.5">
      <c r="A31" s="11">
        <f t="shared" si="0"/>
        <v>25</v>
      </c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 s="4"/>
      <c r="U31" s="4"/>
      <c r="V31" s="4"/>
      <c r="W31" s="4"/>
      <c r="X31" s="4"/>
      <c r="Y31" s="4"/>
      <c r="Z31" s="4"/>
    </row>
    <row r="32" spans="1:32" ht="13.5">
      <c r="A32" s="11">
        <f t="shared" si="0"/>
        <v>26</v>
      </c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 s="8"/>
      <c r="U32" s="8"/>
      <c r="V32" s="8"/>
      <c r="W32" s="8"/>
      <c r="X32" s="8"/>
      <c r="Y32" s="8"/>
      <c r="Z32" s="9"/>
    </row>
    <row r="33" spans="1:19" ht="13.5">
      <c r="A33" s="11">
        <f t="shared" si="0"/>
        <v>27</v>
      </c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</row>
    <row r="34" spans="1:19" ht="13.5">
      <c r="A34" s="11">
        <f t="shared" si="0"/>
        <v>28</v>
      </c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</row>
    <row r="35" spans="1:19" ht="13.5">
      <c r="A35" s="11">
        <f t="shared" si="0"/>
        <v>29</v>
      </c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</row>
    <row r="36" spans="1:19" ht="13.5">
      <c r="A36" s="11">
        <f t="shared" si="0"/>
        <v>30</v>
      </c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</row>
    <row r="37" spans="1:19" ht="13.5">
      <c r="A37" s="11">
        <f t="shared" si="0"/>
        <v>31</v>
      </c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</row>
    <row r="38" spans="1:19" ht="13.5">
      <c r="A38" s="11">
        <f t="shared" si="0"/>
        <v>32</v>
      </c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</row>
    <row r="39" spans="1:19" ht="13.5">
      <c r="A39" s="11">
        <f t="shared" si="0"/>
        <v>33</v>
      </c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</row>
    <row r="40" spans="1:19" ht="13.5">
      <c r="A40" s="11">
        <f t="shared" si="0"/>
        <v>34</v>
      </c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</row>
    <row r="41" spans="1:19" ht="13.5">
      <c r="A41" s="11">
        <f t="shared" si="0"/>
        <v>35</v>
      </c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</row>
    <row r="42" spans="1:19" ht="13.5">
      <c r="A42" s="11">
        <f t="shared" si="0"/>
        <v>36</v>
      </c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</row>
    <row r="43" spans="1:19" ht="13.5">
      <c r="A43" s="11">
        <f t="shared" si="0"/>
        <v>37</v>
      </c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</row>
    <row r="44" spans="1:19" ht="13.5">
      <c r="A44" s="11">
        <f t="shared" si="0"/>
        <v>38</v>
      </c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</row>
    <row r="45" spans="1:19" ht="13.5">
      <c r="A45" s="11">
        <f t="shared" si="0"/>
        <v>39</v>
      </c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</row>
    <row r="46" spans="1:19" ht="13.5">
      <c r="A46" s="11">
        <f t="shared" si="0"/>
        <v>40</v>
      </c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</row>
    <row r="47" spans="1:19" ht="13.5">
      <c r="A47" s="11">
        <f t="shared" si="0"/>
        <v>41</v>
      </c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</row>
    <row r="48" spans="1:19" ht="13.5">
      <c r="A48" s="11">
        <f t="shared" si="0"/>
        <v>42</v>
      </c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</row>
    <row r="49" spans="1:19" ht="13.5">
      <c r="A49" s="11">
        <f t="shared" si="0"/>
        <v>43</v>
      </c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</row>
    <row r="50" spans="1:19" ht="13.5">
      <c r="A50" s="11">
        <f t="shared" si="0"/>
        <v>44</v>
      </c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</row>
    <row r="51" spans="1:19" ht="13.5"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</row>
    <row r="52" spans="1:19" ht="13.5"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</row>
    <row r="53" spans="1:19" ht="13.5"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</row>
    <row r="54" spans="1:19" ht="13.5"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</row>
    <row r="55" spans="1:19" ht="13.5"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</row>
    <row r="56" spans="1:19" ht="13.5"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</row>
    <row r="57" spans="1:19" ht="13.5"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</row>
    <row r="58" spans="1:19" ht="13.5"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</row>
    <row r="59" spans="1:19" ht="13.5"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</row>
    <row r="60" spans="1:19" ht="13.5"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</row>
    <row r="61" spans="1:19" ht="13.5"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</row>
    <row r="62" spans="1:19" ht="13.5"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</row>
    <row r="63" spans="1:19" ht="13.5"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</row>
    <row r="64" spans="1:19" ht="13.5"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</row>
    <row r="65" spans="2:19" ht="13.5"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</row>
    <row r="66" spans="2:19" ht="13.5"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</row>
    <row r="67" spans="2:19" ht="13.5"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</row>
    <row r="68" spans="2:19" ht="13.5"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</row>
    <row r="69" spans="2:19" ht="13.5"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</row>
    <row r="70" spans="2:19" ht="13.5"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</row>
    <row r="71" spans="2:19" ht="13.5"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</row>
    <row r="72" spans="2:19" ht="13.5"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</row>
    <row r="73" spans="2:19" ht="13.5"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</row>
    <row r="74" spans="2:19" ht="13.5"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</row>
    <row r="75" spans="2:19" ht="13.5"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</row>
    <row r="76" spans="2:19" ht="13.5"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</row>
    <row r="77" spans="2:19" ht="13.5"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</row>
    <row r="78" spans="2:19" ht="13.5"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</row>
    <row r="79" spans="2:19" ht="13.5"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</row>
    <row r="80" spans="2:19" ht="13.5"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</row>
    <row r="81" spans="2:19" ht="13.5"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</row>
    <row r="82" spans="2:19" ht="13.5"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</row>
    <row r="83" spans="2:19" ht="13.5"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</row>
    <row r="84" spans="2:19" ht="13.5"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</row>
    <row r="85" spans="2:19" ht="13.5"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</row>
    <row r="86" spans="2:19" ht="13.5"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</row>
    <row r="87" spans="2:19" ht="13.5"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</row>
    <row r="88" spans="2:19" ht="13.5"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</row>
    <row r="89" spans="2:19" ht="13.5"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</row>
    <row r="90" spans="2:19" ht="13.5"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</row>
    <row r="91" spans="2:19" ht="13.5"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</row>
    <row r="92" spans="2:19" ht="13.5"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</row>
    <row r="93" spans="2:19" ht="13.5"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</row>
    <row r="94" spans="2:19" ht="13.5"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</row>
    <row r="95" spans="2:19" ht="13.5"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</row>
    <row r="96" spans="2:19" ht="13.5"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</row>
    <row r="97" spans="2:19" ht="13.5"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</row>
    <row r="98" spans="2:19" ht="13.5"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</row>
    <row r="99" spans="2:19" ht="13.5"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</row>
    <row r="100" spans="2:19" ht="13.5"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</row>
    <row r="101" spans="2:19" ht="13.5"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</row>
    <row r="102" spans="2:19" ht="13.5"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</row>
    <row r="103" spans="2:19" ht="13.5"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</row>
    <row r="104" spans="2:19" ht="13.5"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</row>
    <row r="105" spans="2:19" ht="13.5"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</row>
    <row r="106" spans="2:19" ht="13.5"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R82"/>
  <sheetViews>
    <sheetView showGridLines="0" topLeftCell="A35" workbookViewId="0">
      <selection activeCell="B67" sqref="B67"/>
    </sheetView>
  </sheetViews>
  <sheetFormatPr defaultRowHeight="11.25"/>
  <cols>
    <col min="1" max="3" width="9" style="30"/>
    <col min="4" max="4" width="11.375" style="30" customWidth="1"/>
    <col min="5" max="7" width="9" style="30"/>
    <col min="8" max="8" width="10.5" style="30" customWidth="1"/>
    <col min="9" max="9" width="9" style="30"/>
    <col min="10" max="10" width="9.25" style="30" customWidth="1"/>
    <col min="11" max="16384" width="9" style="30"/>
  </cols>
  <sheetData>
    <row r="1" spans="1:18" s="24" customFormat="1">
      <c r="A1" s="19" t="s">
        <v>7</v>
      </c>
      <c r="B1" s="20" t="s">
        <v>56</v>
      </c>
      <c r="C1" s="21" t="s">
        <v>57</v>
      </c>
      <c r="D1" s="21" t="s">
        <v>58</v>
      </c>
      <c r="E1" s="20" t="s">
        <v>59</v>
      </c>
      <c r="F1" s="20" t="s">
        <v>60</v>
      </c>
      <c r="G1" s="20" t="s">
        <v>61</v>
      </c>
      <c r="H1" s="20" t="s">
        <v>62</v>
      </c>
      <c r="I1" s="20" t="s">
        <v>63</v>
      </c>
      <c r="J1" s="22" t="s">
        <v>64</v>
      </c>
      <c r="K1" s="23" t="s">
        <v>65</v>
      </c>
      <c r="L1" s="23" t="s">
        <v>66</v>
      </c>
      <c r="M1" s="23" t="s">
        <v>67</v>
      </c>
      <c r="N1" s="23" t="s">
        <v>68</v>
      </c>
      <c r="O1" s="23" t="s">
        <v>69</v>
      </c>
      <c r="P1" s="23" t="s">
        <v>70</v>
      </c>
      <c r="Q1" s="23" t="s">
        <v>71</v>
      </c>
      <c r="R1" s="23" t="s">
        <v>72</v>
      </c>
    </row>
    <row r="2" spans="1:18" s="24" customFormat="1" ht="26.25" customHeight="1">
      <c r="A2" s="25" t="s">
        <v>8</v>
      </c>
      <c r="B2" s="26" t="s">
        <v>31</v>
      </c>
      <c r="C2" s="27" t="s">
        <v>32</v>
      </c>
      <c r="D2" s="27" t="s">
        <v>33</v>
      </c>
      <c r="E2" s="28" t="s">
        <v>34</v>
      </c>
      <c r="F2" s="25" t="s">
        <v>35</v>
      </c>
      <c r="G2" s="25" t="s">
        <v>36</v>
      </c>
      <c r="H2" s="25" t="s">
        <v>37</v>
      </c>
      <c r="I2" s="25" t="s">
        <v>38</v>
      </c>
      <c r="J2" s="29" t="s">
        <v>55</v>
      </c>
      <c r="K2" s="28" t="s">
        <v>9</v>
      </c>
      <c r="L2" s="28" t="s">
        <v>10</v>
      </c>
      <c r="M2" s="25" t="s">
        <v>11</v>
      </c>
      <c r="N2" s="27" t="s">
        <v>12</v>
      </c>
      <c r="O2" s="27" t="s">
        <v>13</v>
      </c>
      <c r="P2" s="27" t="s">
        <v>14</v>
      </c>
      <c r="Q2" s="27" t="s">
        <v>15</v>
      </c>
      <c r="R2" s="27" t="s">
        <v>16</v>
      </c>
    </row>
    <row r="3" spans="1:18">
      <c r="A3" s="31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3"/>
    </row>
    <row r="4" spans="1:18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6"/>
    </row>
    <row r="5" spans="1:18">
      <c r="A5" s="37">
        <v>36161</v>
      </c>
      <c r="B5" s="39" t="e">
        <f>IF(#REF!="","",#REF!)</f>
        <v>#REF!</v>
      </c>
      <c r="C5" s="39" t="e">
        <f>IF(#REF!="","",#REF!)</f>
        <v>#REF!</v>
      </c>
      <c r="D5" s="39" t="e">
        <f>IF(#REF!="","",#REF!)</f>
        <v>#REF!</v>
      </c>
      <c r="E5" s="39" t="e">
        <f>IF(#REF!="","",#REF!)</f>
        <v>#REF!</v>
      </c>
      <c r="F5" s="39" t="e">
        <f>IF(#REF!="","",#REF!)</f>
        <v>#REF!</v>
      </c>
      <c r="G5" s="39" t="e">
        <f>IF(#REF!="","",#REF!)</f>
        <v>#REF!</v>
      </c>
      <c r="H5" s="39" t="e">
        <f>IF(#REF!="","",#REF!)</f>
        <v>#REF!</v>
      </c>
      <c r="I5" s="39" t="e">
        <f>IF(#REF!="","",#REF!)</f>
        <v>#REF!</v>
      </c>
      <c r="J5" s="39" t="e">
        <f>IF(#REF!="","",#REF!)</f>
        <v>#REF!</v>
      </c>
      <c r="K5" s="39" t="e">
        <f>IF(#REF!="","",#REF!)</f>
        <v>#REF!</v>
      </c>
      <c r="L5" s="39" t="e">
        <f>IF(#REF!="","",#REF!)</f>
        <v>#REF!</v>
      </c>
      <c r="M5" s="39" t="e">
        <f>IF(#REF!="","",#REF!)</f>
        <v>#REF!</v>
      </c>
      <c r="N5" s="39" t="e">
        <f>IF(#REF!="","",#REF!)</f>
        <v>#REF!</v>
      </c>
      <c r="O5" s="39" t="e">
        <f>IF(#REF!="","",#REF!)</f>
        <v>#REF!</v>
      </c>
      <c r="P5" s="39" t="e">
        <f>IF(#REF!="","",#REF!)</f>
        <v>#REF!</v>
      </c>
      <c r="Q5" s="39" t="e">
        <f>IF(#REF!="","",#REF!)</f>
        <v>#REF!</v>
      </c>
      <c r="R5" s="41" t="e">
        <f>IF(#REF!="","",#REF!)</f>
        <v>#REF!</v>
      </c>
    </row>
    <row r="6" spans="1:18">
      <c r="A6" s="37">
        <v>36192</v>
      </c>
      <c r="B6" s="39" t="e">
        <f>IF(#REF!="","",#REF!)</f>
        <v>#REF!</v>
      </c>
      <c r="C6" s="39" t="e">
        <f>IF(#REF!="","",#REF!)</f>
        <v>#REF!</v>
      </c>
      <c r="D6" s="39" t="e">
        <f>IF(#REF!="","",#REF!)</f>
        <v>#REF!</v>
      </c>
      <c r="E6" s="39" t="e">
        <f>IF(#REF!="","",#REF!)</f>
        <v>#REF!</v>
      </c>
      <c r="F6" s="39" t="e">
        <f>IF(#REF!="","",#REF!)</f>
        <v>#REF!</v>
      </c>
      <c r="G6" s="39" t="e">
        <f>IF(#REF!="","",#REF!)</f>
        <v>#REF!</v>
      </c>
      <c r="H6" s="39" t="e">
        <f>IF(#REF!="","",#REF!)</f>
        <v>#REF!</v>
      </c>
      <c r="I6" s="39" t="e">
        <f>IF(#REF!="","",#REF!)</f>
        <v>#REF!</v>
      </c>
      <c r="J6" s="39" t="e">
        <f>IF(#REF!="","",#REF!)</f>
        <v>#REF!</v>
      </c>
      <c r="K6" s="39" t="e">
        <f>IF(#REF!="","",#REF!)</f>
        <v>#REF!</v>
      </c>
      <c r="L6" s="39" t="e">
        <f>IF(#REF!="","",#REF!)</f>
        <v>#REF!</v>
      </c>
      <c r="M6" s="39" t="e">
        <f>IF(#REF!="","",#REF!)</f>
        <v>#REF!</v>
      </c>
      <c r="N6" s="39" t="e">
        <f>IF(#REF!="","",#REF!)</f>
        <v>#REF!</v>
      </c>
      <c r="O6" s="39" t="e">
        <f>IF(#REF!="","",#REF!)</f>
        <v>#REF!</v>
      </c>
      <c r="P6" s="39" t="e">
        <f>IF(#REF!="","",#REF!)</f>
        <v>#REF!</v>
      </c>
      <c r="Q6" s="39" t="e">
        <f>IF(#REF!="","",#REF!)</f>
        <v>#REF!</v>
      </c>
      <c r="R6" s="41" t="e">
        <f>IF(#REF!="","",#REF!)</f>
        <v>#REF!</v>
      </c>
    </row>
    <row r="7" spans="1:18">
      <c r="A7" s="37">
        <v>36220</v>
      </c>
      <c r="B7" s="39" t="e">
        <f>IF(#REF!="","",#REF!)</f>
        <v>#REF!</v>
      </c>
      <c r="C7" s="39" t="e">
        <f>IF(#REF!="","",#REF!)</f>
        <v>#REF!</v>
      </c>
      <c r="D7" s="39" t="e">
        <f>IF(#REF!="","",#REF!)</f>
        <v>#REF!</v>
      </c>
      <c r="E7" s="39" t="e">
        <f>IF(#REF!="","",#REF!)</f>
        <v>#REF!</v>
      </c>
      <c r="F7" s="39" t="e">
        <f>IF(#REF!="","",#REF!)</f>
        <v>#REF!</v>
      </c>
      <c r="G7" s="39" t="e">
        <f>IF(#REF!="","",#REF!)</f>
        <v>#REF!</v>
      </c>
      <c r="H7" s="39" t="e">
        <f>IF(#REF!="","",#REF!)</f>
        <v>#REF!</v>
      </c>
      <c r="I7" s="39" t="e">
        <f>IF(#REF!="","",#REF!)</f>
        <v>#REF!</v>
      </c>
      <c r="J7" s="39" t="e">
        <f>IF(#REF!="","",#REF!)</f>
        <v>#REF!</v>
      </c>
      <c r="K7" s="39" t="e">
        <f>IF(#REF!="","",#REF!)</f>
        <v>#REF!</v>
      </c>
      <c r="L7" s="39" t="e">
        <f>IF(#REF!="","",#REF!)</f>
        <v>#REF!</v>
      </c>
      <c r="M7" s="39" t="e">
        <f>IF(#REF!="","",#REF!)</f>
        <v>#REF!</v>
      </c>
      <c r="N7" s="39" t="e">
        <f>IF(#REF!="","",#REF!)</f>
        <v>#REF!</v>
      </c>
      <c r="O7" s="39" t="e">
        <f>IF(#REF!="","",#REF!)</f>
        <v>#REF!</v>
      </c>
      <c r="P7" s="39" t="e">
        <f>IF(#REF!="","",#REF!)</f>
        <v>#REF!</v>
      </c>
      <c r="Q7" s="39" t="e">
        <f>IF(#REF!="","",#REF!)</f>
        <v>#REF!</v>
      </c>
      <c r="R7" s="41" t="e">
        <f>IF(#REF!="","",#REF!)</f>
        <v>#REF!</v>
      </c>
    </row>
    <row r="8" spans="1:18">
      <c r="A8" s="37">
        <v>36251</v>
      </c>
      <c r="B8" s="39" t="e">
        <f>IF(#REF!="","",#REF!)</f>
        <v>#REF!</v>
      </c>
      <c r="C8" s="39" t="e">
        <f>IF(#REF!="","",#REF!)</f>
        <v>#REF!</v>
      </c>
      <c r="D8" s="39" t="e">
        <f>IF(#REF!="","",#REF!)</f>
        <v>#REF!</v>
      </c>
      <c r="E8" s="39" t="e">
        <f>IF(#REF!="","",#REF!)</f>
        <v>#REF!</v>
      </c>
      <c r="F8" s="39" t="e">
        <f>IF(#REF!="","",#REF!)</f>
        <v>#REF!</v>
      </c>
      <c r="G8" s="39" t="e">
        <f>IF(#REF!="","",#REF!)</f>
        <v>#REF!</v>
      </c>
      <c r="H8" s="39" t="e">
        <f>IF(#REF!="","",#REF!)</f>
        <v>#REF!</v>
      </c>
      <c r="I8" s="39" t="e">
        <f>IF(#REF!="","",#REF!)</f>
        <v>#REF!</v>
      </c>
      <c r="J8" s="39" t="e">
        <f>IF(#REF!="","",#REF!)</f>
        <v>#REF!</v>
      </c>
      <c r="K8" s="39" t="e">
        <f>IF(#REF!="","",#REF!)</f>
        <v>#REF!</v>
      </c>
      <c r="L8" s="39" t="e">
        <f>IF(#REF!="","",#REF!)</f>
        <v>#REF!</v>
      </c>
      <c r="M8" s="39" t="e">
        <f>IF(#REF!="","",#REF!)</f>
        <v>#REF!</v>
      </c>
      <c r="N8" s="39" t="e">
        <f>IF(#REF!="","",#REF!)</f>
        <v>#REF!</v>
      </c>
      <c r="O8" s="39" t="e">
        <f>IF(#REF!="","",#REF!)</f>
        <v>#REF!</v>
      </c>
      <c r="P8" s="39" t="e">
        <f>IF(#REF!="","",#REF!)</f>
        <v>#REF!</v>
      </c>
      <c r="Q8" s="39" t="e">
        <f>IF(#REF!="","",#REF!)</f>
        <v>#REF!</v>
      </c>
      <c r="R8" s="41" t="e">
        <f>IF(#REF!="","",#REF!)</f>
        <v>#REF!</v>
      </c>
    </row>
    <row r="9" spans="1:18">
      <c r="A9" s="37">
        <v>36281</v>
      </c>
      <c r="B9" s="39" t="e">
        <f>IF(#REF!="","",#REF!)</f>
        <v>#REF!</v>
      </c>
      <c r="C9" s="39" t="e">
        <f>IF(#REF!="","",#REF!)</f>
        <v>#REF!</v>
      </c>
      <c r="D9" s="39" t="e">
        <f>IF(#REF!="","",#REF!)</f>
        <v>#REF!</v>
      </c>
      <c r="E9" s="39" t="e">
        <f>IF(#REF!="","",#REF!)</f>
        <v>#REF!</v>
      </c>
      <c r="F9" s="39" t="e">
        <f>IF(#REF!="","",#REF!)</f>
        <v>#REF!</v>
      </c>
      <c r="G9" s="39" t="e">
        <f>IF(#REF!="","",#REF!)</f>
        <v>#REF!</v>
      </c>
      <c r="H9" s="39" t="e">
        <f>IF(#REF!="","",#REF!)</f>
        <v>#REF!</v>
      </c>
      <c r="I9" s="39" t="e">
        <f>IF(#REF!="","",#REF!)</f>
        <v>#REF!</v>
      </c>
      <c r="J9" s="39" t="e">
        <f>IF(#REF!="","",#REF!)</f>
        <v>#REF!</v>
      </c>
      <c r="K9" s="39" t="e">
        <f>IF(#REF!="","",#REF!)</f>
        <v>#REF!</v>
      </c>
      <c r="L9" s="39" t="e">
        <f>IF(#REF!="","",#REF!)</f>
        <v>#REF!</v>
      </c>
      <c r="M9" s="39" t="e">
        <f>IF(#REF!="","",#REF!)</f>
        <v>#REF!</v>
      </c>
      <c r="N9" s="39" t="e">
        <f>IF(#REF!="","",#REF!)</f>
        <v>#REF!</v>
      </c>
      <c r="O9" s="39" t="e">
        <f>IF(#REF!="","",#REF!)</f>
        <v>#REF!</v>
      </c>
      <c r="P9" s="39" t="e">
        <f>IF(#REF!="","",#REF!)</f>
        <v>#REF!</v>
      </c>
      <c r="Q9" s="39" t="e">
        <f>IF(#REF!="","",#REF!)</f>
        <v>#REF!</v>
      </c>
      <c r="R9" s="41" t="e">
        <f>IF(#REF!="","",#REF!)</f>
        <v>#REF!</v>
      </c>
    </row>
    <row r="10" spans="1:18">
      <c r="A10" s="37">
        <v>36312</v>
      </c>
      <c r="B10" s="39" t="e">
        <f>IF(#REF!="","",#REF!)</f>
        <v>#REF!</v>
      </c>
      <c r="C10" s="39" t="e">
        <f>IF(#REF!="","",#REF!)</f>
        <v>#REF!</v>
      </c>
      <c r="D10" s="39" t="e">
        <f>IF(#REF!="","",#REF!)</f>
        <v>#REF!</v>
      </c>
      <c r="E10" s="39" t="e">
        <f>IF(#REF!="","",#REF!)</f>
        <v>#REF!</v>
      </c>
      <c r="F10" s="39" t="e">
        <f>IF(#REF!="","",#REF!)</f>
        <v>#REF!</v>
      </c>
      <c r="G10" s="39" t="e">
        <f>IF(#REF!="","",#REF!)</f>
        <v>#REF!</v>
      </c>
      <c r="H10" s="39" t="e">
        <f>IF(#REF!="","",#REF!)</f>
        <v>#REF!</v>
      </c>
      <c r="I10" s="39" t="e">
        <f>IF(#REF!="","",#REF!)</f>
        <v>#REF!</v>
      </c>
      <c r="J10" s="39" t="e">
        <f>IF(#REF!="","",#REF!)</f>
        <v>#REF!</v>
      </c>
      <c r="K10" s="39" t="e">
        <f>IF(#REF!="","",#REF!)</f>
        <v>#REF!</v>
      </c>
      <c r="L10" s="39" t="e">
        <f>IF(#REF!="","",#REF!)</f>
        <v>#REF!</v>
      </c>
      <c r="M10" s="39" t="e">
        <f>IF(#REF!="","",#REF!)</f>
        <v>#REF!</v>
      </c>
      <c r="N10" s="39" t="e">
        <f>IF(#REF!="","",#REF!)</f>
        <v>#REF!</v>
      </c>
      <c r="O10" s="39" t="e">
        <f>IF(#REF!="","",#REF!)</f>
        <v>#REF!</v>
      </c>
      <c r="P10" s="39" t="e">
        <f>IF(#REF!="","",#REF!)</f>
        <v>#REF!</v>
      </c>
      <c r="Q10" s="39" t="e">
        <f>IF(#REF!="","",#REF!)</f>
        <v>#REF!</v>
      </c>
      <c r="R10" s="41" t="e">
        <f>IF(#REF!="","",#REF!)</f>
        <v>#REF!</v>
      </c>
    </row>
    <row r="11" spans="1:18">
      <c r="A11" s="37">
        <v>36342</v>
      </c>
      <c r="B11" s="39" t="e">
        <f>IF(#REF!="","",#REF!)</f>
        <v>#REF!</v>
      </c>
      <c r="C11" s="39" t="e">
        <f>IF(#REF!="","",#REF!)</f>
        <v>#REF!</v>
      </c>
      <c r="D11" s="39" t="e">
        <f>IF(#REF!="","",#REF!)</f>
        <v>#REF!</v>
      </c>
      <c r="E11" s="39" t="e">
        <f>IF(#REF!="","",#REF!)</f>
        <v>#REF!</v>
      </c>
      <c r="F11" s="39" t="e">
        <f>IF(#REF!="","",#REF!)</f>
        <v>#REF!</v>
      </c>
      <c r="G11" s="39" t="e">
        <f>IF(#REF!="","",#REF!)</f>
        <v>#REF!</v>
      </c>
      <c r="H11" s="39" t="e">
        <f>IF(#REF!="","",#REF!)</f>
        <v>#REF!</v>
      </c>
      <c r="I11" s="39" t="e">
        <f>IF(#REF!="","",#REF!)</f>
        <v>#REF!</v>
      </c>
      <c r="J11" s="39" t="e">
        <f>IF(#REF!="","",#REF!)</f>
        <v>#REF!</v>
      </c>
      <c r="K11" s="39" t="e">
        <f>IF(#REF!="","",#REF!)</f>
        <v>#REF!</v>
      </c>
      <c r="L11" s="39" t="e">
        <f>IF(#REF!="","",#REF!)</f>
        <v>#REF!</v>
      </c>
      <c r="M11" s="39" t="e">
        <f>IF(#REF!="","",#REF!)</f>
        <v>#REF!</v>
      </c>
      <c r="N11" s="39" t="e">
        <f>IF(#REF!="","",#REF!)</f>
        <v>#REF!</v>
      </c>
      <c r="O11" s="39" t="e">
        <f>IF(#REF!="","",#REF!)</f>
        <v>#REF!</v>
      </c>
      <c r="P11" s="39" t="e">
        <f>IF(#REF!="","",#REF!)</f>
        <v>#REF!</v>
      </c>
      <c r="Q11" s="39" t="e">
        <f>IF(#REF!="","",#REF!)</f>
        <v>#REF!</v>
      </c>
      <c r="R11" s="41" t="e">
        <f>IF(#REF!="","",#REF!)</f>
        <v>#REF!</v>
      </c>
    </row>
    <row r="12" spans="1:18">
      <c r="A12" s="37">
        <v>36373</v>
      </c>
      <c r="B12" s="39" t="e">
        <f>IF(#REF!="","",#REF!)</f>
        <v>#REF!</v>
      </c>
      <c r="C12" s="39" t="e">
        <f>IF(#REF!="","",#REF!)</f>
        <v>#REF!</v>
      </c>
      <c r="D12" s="39" t="e">
        <f>IF(#REF!="","",#REF!)</f>
        <v>#REF!</v>
      </c>
      <c r="E12" s="39" t="e">
        <f>IF(#REF!="","",#REF!)</f>
        <v>#REF!</v>
      </c>
      <c r="F12" s="39" t="e">
        <f>IF(#REF!="","",#REF!)</f>
        <v>#REF!</v>
      </c>
      <c r="G12" s="39" t="e">
        <f>IF(#REF!="","",#REF!)</f>
        <v>#REF!</v>
      </c>
      <c r="H12" s="39" t="e">
        <f>IF(#REF!="","",#REF!)</f>
        <v>#REF!</v>
      </c>
      <c r="I12" s="39" t="e">
        <f>IF(#REF!="","",#REF!)</f>
        <v>#REF!</v>
      </c>
      <c r="J12" s="39" t="e">
        <f>IF(#REF!="","",#REF!)</f>
        <v>#REF!</v>
      </c>
      <c r="K12" s="39" t="e">
        <f>IF(#REF!="","",#REF!)</f>
        <v>#REF!</v>
      </c>
      <c r="L12" s="39" t="e">
        <f>IF(#REF!="","",#REF!)</f>
        <v>#REF!</v>
      </c>
      <c r="M12" s="39" t="e">
        <f>IF(#REF!="","",#REF!)</f>
        <v>#REF!</v>
      </c>
      <c r="N12" s="39" t="e">
        <f>IF(#REF!="","",#REF!)</f>
        <v>#REF!</v>
      </c>
      <c r="O12" s="39" t="e">
        <f>IF(#REF!="","",#REF!)</f>
        <v>#REF!</v>
      </c>
      <c r="P12" s="39" t="e">
        <f>IF(#REF!="","",#REF!)</f>
        <v>#REF!</v>
      </c>
      <c r="Q12" s="39" t="e">
        <f>IF(#REF!="","",#REF!)</f>
        <v>#REF!</v>
      </c>
      <c r="R12" s="41" t="e">
        <f>IF(#REF!="","",#REF!)</f>
        <v>#REF!</v>
      </c>
    </row>
    <row r="13" spans="1:18">
      <c r="A13" s="37">
        <v>36404</v>
      </c>
      <c r="B13" s="39" t="e">
        <f>IF(#REF!="","",#REF!)</f>
        <v>#REF!</v>
      </c>
      <c r="C13" s="39" t="e">
        <f>IF(#REF!="","",#REF!)</f>
        <v>#REF!</v>
      </c>
      <c r="D13" s="39" t="e">
        <f>IF(#REF!="","",#REF!)</f>
        <v>#REF!</v>
      </c>
      <c r="E13" s="39" t="e">
        <f>IF(#REF!="","",#REF!)</f>
        <v>#REF!</v>
      </c>
      <c r="F13" s="39" t="e">
        <f>IF(#REF!="","",#REF!)</f>
        <v>#REF!</v>
      </c>
      <c r="G13" s="39" t="e">
        <f>IF(#REF!="","",#REF!)</f>
        <v>#REF!</v>
      </c>
      <c r="H13" s="39" t="e">
        <f>IF(#REF!="","",#REF!)</f>
        <v>#REF!</v>
      </c>
      <c r="I13" s="39" t="e">
        <f>IF(#REF!="","",#REF!)</f>
        <v>#REF!</v>
      </c>
      <c r="J13" s="39" t="e">
        <f>IF(#REF!="","",#REF!)</f>
        <v>#REF!</v>
      </c>
      <c r="K13" s="39" t="e">
        <f>IF(#REF!="","",#REF!)</f>
        <v>#REF!</v>
      </c>
      <c r="L13" s="39" t="e">
        <f>IF(#REF!="","",#REF!)</f>
        <v>#REF!</v>
      </c>
      <c r="M13" s="39" t="e">
        <f>IF(#REF!="","",#REF!)</f>
        <v>#REF!</v>
      </c>
      <c r="N13" s="39" t="e">
        <f>IF(#REF!="","",#REF!)</f>
        <v>#REF!</v>
      </c>
      <c r="O13" s="39" t="e">
        <f>IF(#REF!="","",#REF!)</f>
        <v>#REF!</v>
      </c>
      <c r="P13" s="39" t="e">
        <f>IF(#REF!="","",#REF!)</f>
        <v>#REF!</v>
      </c>
      <c r="Q13" s="39" t="e">
        <f>IF(#REF!="","",#REF!)</f>
        <v>#REF!</v>
      </c>
      <c r="R13" s="41" t="e">
        <f>IF(#REF!="","",#REF!)</f>
        <v>#REF!</v>
      </c>
    </row>
    <row r="14" spans="1:18">
      <c r="A14" s="37">
        <v>36434</v>
      </c>
      <c r="B14" s="39" t="e">
        <f>IF(#REF!="","",#REF!)</f>
        <v>#REF!</v>
      </c>
      <c r="C14" s="39" t="e">
        <f>IF(#REF!="","",#REF!)</f>
        <v>#REF!</v>
      </c>
      <c r="D14" s="39" t="e">
        <f>IF(#REF!="","",#REF!)</f>
        <v>#REF!</v>
      </c>
      <c r="E14" s="39" t="e">
        <f>IF(#REF!="","",#REF!)</f>
        <v>#REF!</v>
      </c>
      <c r="F14" s="39" t="e">
        <f>IF(#REF!="","",#REF!)</f>
        <v>#REF!</v>
      </c>
      <c r="G14" s="39" t="e">
        <f>IF(#REF!="","",#REF!)</f>
        <v>#REF!</v>
      </c>
      <c r="H14" s="39" t="e">
        <f>IF(#REF!="","",#REF!)</f>
        <v>#REF!</v>
      </c>
      <c r="I14" s="39" t="e">
        <f>IF(#REF!="","",#REF!)</f>
        <v>#REF!</v>
      </c>
      <c r="J14" s="39" t="e">
        <f>IF(#REF!="","",#REF!)</f>
        <v>#REF!</v>
      </c>
      <c r="K14" s="39" t="e">
        <f>IF(#REF!="","",#REF!)</f>
        <v>#REF!</v>
      </c>
      <c r="L14" s="39" t="e">
        <f>IF(#REF!="","",#REF!)</f>
        <v>#REF!</v>
      </c>
      <c r="M14" s="39" t="e">
        <f>IF(#REF!="","",#REF!)</f>
        <v>#REF!</v>
      </c>
      <c r="N14" s="39" t="e">
        <f>IF(#REF!="","",#REF!)</f>
        <v>#REF!</v>
      </c>
      <c r="O14" s="39" t="e">
        <f>IF(#REF!="","",#REF!)</f>
        <v>#REF!</v>
      </c>
      <c r="P14" s="39" t="e">
        <f>IF(#REF!="","",#REF!)</f>
        <v>#REF!</v>
      </c>
      <c r="Q14" s="39" t="e">
        <f>IF(#REF!="","",#REF!)</f>
        <v>#REF!</v>
      </c>
      <c r="R14" s="41" t="e">
        <f>IF(#REF!="","",#REF!)</f>
        <v>#REF!</v>
      </c>
    </row>
    <row r="15" spans="1:18">
      <c r="A15" s="37">
        <v>36465</v>
      </c>
      <c r="B15" s="39" t="e">
        <f>IF(#REF!="","",#REF!)</f>
        <v>#REF!</v>
      </c>
      <c r="C15" s="39" t="e">
        <f>IF(#REF!="","",#REF!)</f>
        <v>#REF!</v>
      </c>
      <c r="D15" s="39" t="e">
        <f>IF(#REF!="","",#REF!)</f>
        <v>#REF!</v>
      </c>
      <c r="E15" s="39" t="e">
        <f>IF(#REF!="","",#REF!)</f>
        <v>#REF!</v>
      </c>
      <c r="F15" s="39" t="e">
        <f>IF(#REF!="","",#REF!)</f>
        <v>#REF!</v>
      </c>
      <c r="G15" s="39" t="e">
        <f>IF(#REF!="","",#REF!)</f>
        <v>#REF!</v>
      </c>
      <c r="H15" s="39" t="e">
        <f>IF(#REF!="","",#REF!)</f>
        <v>#REF!</v>
      </c>
      <c r="I15" s="39" t="e">
        <f>IF(#REF!="","",#REF!)</f>
        <v>#REF!</v>
      </c>
      <c r="J15" s="39" t="e">
        <f>IF(#REF!="","",#REF!)</f>
        <v>#REF!</v>
      </c>
      <c r="K15" s="39" t="e">
        <f>IF(#REF!="","",#REF!)</f>
        <v>#REF!</v>
      </c>
      <c r="L15" s="39" t="e">
        <f>IF(#REF!="","",#REF!)</f>
        <v>#REF!</v>
      </c>
      <c r="M15" s="39" t="e">
        <f>IF(#REF!="","",#REF!)</f>
        <v>#REF!</v>
      </c>
      <c r="N15" s="39" t="e">
        <f>IF(#REF!="","",#REF!)</f>
        <v>#REF!</v>
      </c>
      <c r="O15" s="39" t="e">
        <f>IF(#REF!="","",#REF!)</f>
        <v>#REF!</v>
      </c>
      <c r="P15" s="39" t="e">
        <f>IF(#REF!="","",#REF!)</f>
        <v>#REF!</v>
      </c>
      <c r="Q15" s="39" t="e">
        <f>IF(#REF!="","",#REF!)</f>
        <v>#REF!</v>
      </c>
      <c r="R15" s="41" t="e">
        <f>IF(#REF!="","",#REF!)</f>
        <v>#REF!</v>
      </c>
    </row>
    <row r="16" spans="1:18">
      <c r="A16" s="37">
        <v>36495</v>
      </c>
      <c r="B16" s="39" t="e">
        <f>IF(#REF!="","",#REF!)</f>
        <v>#REF!</v>
      </c>
      <c r="C16" s="39" t="e">
        <f>IF(#REF!="","",#REF!)</f>
        <v>#REF!</v>
      </c>
      <c r="D16" s="39" t="e">
        <f>IF(#REF!="","",#REF!)</f>
        <v>#REF!</v>
      </c>
      <c r="E16" s="39" t="e">
        <f>IF(#REF!="","",#REF!)</f>
        <v>#REF!</v>
      </c>
      <c r="F16" s="39" t="e">
        <f>IF(#REF!="","",#REF!)</f>
        <v>#REF!</v>
      </c>
      <c r="G16" s="39" t="e">
        <f>IF(#REF!="","",#REF!)</f>
        <v>#REF!</v>
      </c>
      <c r="H16" s="39" t="e">
        <f>IF(#REF!="","",#REF!)</f>
        <v>#REF!</v>
      </c>
      <c r="I16" s="39" t="e">
        <f>IF(#REF!="","",#REF!)</f>
        <v>#REF!</v>
      </c>
      <c r="J16" s="39" t="e">
        <f>IF(#REF!="","",#REF!)</f>
        <v>#REF!</v>
      </c>
      <c r="K16" s="39" t="e">
        <f>IF(#REF!="","",#REF!)</f>
        <v>#REF!</v>
      </c>
      <c r="L16" s="39" t="e">
        <f>IF(#REF!="","",#REF!)</f>
        <v>#REF!</v>
      </c>
      <c r="M16" s="39" t="e">
        <f>IF(#REF!="","",#REF!)</f>
        <v>#REF!</v>
      </c>
      <c r="N16" s="39" t="e">
        <f>IF(#REF!="","",#REF!)</f>
        <v>#REF!</v>
      </c>
      <c r="O16" s="39" t="e">
        <f>IF(#REF!="","",#REF!)</f>
        <v>#REF!</v>
      </c>
      <c r="P16" s="39" t="e">
        <f>IF(#REF!="","",#REF!)</f>
        <v>#REF!</v>
      </c>
      <c r="Q16" s="39" t="e">
        <f>IF(#REF!="","",#REF!)</f>
        <v>#REF!</v>
      </c>
      <c r="R16" s="41" t="e">
        <f>IF(#REF!="","",#REF!)</f>
        <v>#REF!</v>
      </c>
    </row>
    <row r="17" spans="1:18">
      <c r="A17" s="37">
        <v>36526</v>
      </c>
      <c r="B17" s="39" t="e">
        <f>IF(#REF!="","",#REF!)</f>
        <v>#REF!</v>
      </c>
      <c r="C17" s="39" t="e">
        <f>IF(#REF!="","",#REF!)</f>
        <v>#REF!</v>
      </c>
      <c r="D17" s="39" t="e">
        <f>IF(#REF!="","",#REF!)</f>
        <v>#REF!</v>
      </c>
      <c r="E17" s="39" t="e">
        <f>IF(#REF!="","",#REF!)</f>
        <v>#REF!</v>
      </c>
      <c r="F17" s="39" t="e">
        <f>IF(#REF!="","",#REF!)</f>
        <v>#REF!</v>
      </c>
      <c r="G17" s="39" t="e">
        <f>IF(#REF!="","",#REF!)</f>
        <v>#REF!</v>
      </c>
      <c r="H17" s="39" t="e">
        <f>IF(#REF!="","",#REF!)</f>
        <v>#REF!</v>
      </c>
      <c r="I17" s="39" t="e">
        <f>IF(#REF!="","",#REF!)</f>
        <v>#REF!</v>
      </c>
      <c r="J17" s="39" t="e">
        <f>IF(#REF!="","",#REF!)</f>
        <v>#REF!</v>
      </c>
      <c r="K17" s="39" t="e">
        <f>IF(#REF!="","",#REF!)</f>
        <v>#REF!</v>
      </c>
      <c r="L17" s="39" t="e">
        <f>IF(#REF!="","",#REF!)</f>
        <v>#REF!</v>
      </c>
      <c r="M17" s="39" t="e">
        <f>IF(#REF!="","",#REF!)</f>
        <v>#REF!</v>
      </c>
      <c r="N17" s="39" t="e">
        <f>IF(#REF!="","",#REF!)</f>
        <v>#REF!</v>
      </c>
      <c r="O17" s="39" t="e">
        <f>IF(#REF!="","",#REF!)</f>
        <v>#REF!</v>
      </c>
      <c r="P17" s="39" t="e">
        <f>IF(#REF!="","",#REF!)</f>
        <v>#REF!</v>
      </c>
      <c r="Q17" s="39" t="e">
        <f>IF(#REF!="","",#REF!)</f>
        <v>#REF!</v>
      </c>
      <c r="R17" s="41" t="e">
        <f>IF(#REF!="","",#REF!)</f>
        <v>#REF!</v>
      </c>
    </row>
    <row r="18" spans="1:18">
      <c r="A18" s="37">
        <v>36557</v>
      </c>
      <c r="B18" s="39" t="e">
        <f>IF(#REF!="","",#REF!)</f>
        <v>#REF!</v>
      </c>
      <c r="C18" s="39" t="e">
        <f>IF(#REF!="","",#REF!)</f>
        <v>#REF!</v>
      </c>
      <c r="D18" s="39" t="e">
        <f>IF(#REF!="","",#REF!)</f>
        <v>#REF!</v>
      </c>
      <c r="E18" s="39" t="e">
        <f>IF(#REF!="","",#REF!)</f>
        <v>#REF!</v>
      </c>
      <c r="F18" s="39" t="e">
        <f>IF(#REF!="","",#REF!)</f>
        <v>#REF!</v>
      </c>
      <c r="G18" s="39" t="e">
        <f>IF(#REF!="","",#REF!)</f>
        <v>#REF!</v>
      </c>
      <c r="H18" s="39" t="e">
        <f>IF(#REF!="","",#REF!)</f>
        <v>#REF!</v>
      </c>
      <c r="I18" s="39" t="e">
        <f>IF(#REF!="","",#REF!)</f>
        <v>#REF!</v>
      </c>
      <c r="J18" s="39" t="e">
        <f>IF(#REF!="","",#REF!)</f>
        <v>#REF!</v>
      </c>
      <c r="K18" s="39" t="e">
        <f>IF(#REF!="","",#REF!)</f>
        <v>#REF!</v>
      </c>
      <c r="L18" s="39" t="e">
        <f>IF(#REF!="","",#REF!)</f>
        <v>#REF!</v>
      </c>
      <c r="M18" s="39" t="e">
        <f>IF(#REF!="","",#REF!)</f>
        <v>#REF!</v>
      </c>
      <c r="N18" s="39" t="e">
        <f>IF(#REF!="","",#REF!)</f>
        <v>#REF!</v>
      </c>
      <c r="O18" s="39" t="e">
        <f>IF(#REF!="","",#REF!)</f>
        <v>#REF!</v>
      </c>
      <c r="P18" s="39" t="e">
        <f>IF(#REF!="","",#REF!)</f>
        <v>#REF!</v>
      </c>
      <c r="Q18" s="39" t="e">
        <f>IF(#REF!="","",#REF!)</f>
        <v>#REF!</v>
      </c>
      <c r="R18" s="41" t="e">
        <f>IF(#REF!="","",#REF!)</f>
        <v>#REF!</v>
      </c>
    </row>
    <row r="19" spans="1:18">
      <c r="A19" s="37">
        <v>36586</v>
      </c>
      <c r="B19" s="39" t="e">
        <f>IF(#REF!="","",#REF!)</f>
        <v>#REF!</v>
      </c>
      <c r="C19" s="39" t="e">
        <f>IF(#REF!="","",#REF!)</f>
        <v>#REF!</v>
      </c>
      <c r="D19" s="39" t="e">
        <f>IF(#REF!="","",#REF!)</f>
        <v>#REF!</v>
      </c>
      <c r="E19" s="39" t="e">
        <f>IF(#REF!="","",#REF!)</f>
        <v>#REF!</v>
      </c>
      <c r="F19" s="39" t="e">
        <f>IF(#REF!="","",#REF!)</f>
        <v>#REF!</v>
      </c>
      <c r="G19" s="39" t="e">
        <f>IF(#REF!="","",#REF!)</f>
        <v>#REF!</v>
      </c>
      <c r="H19" s="39" t="e">
        <f>IF(#REF!="","",#REF!)</f>
        <v>#REF!</v>
      </c>
      <c r="I19" s="39" t="e">
        <f>IF(#REF!="","",#REF!)</f>
        <v>#REF!</v>
      </c>
      <c r="J19" s="39" t="e">
        <f>IF(#REF!="","",#REF!)</f>
        <v>#REF!</v>
      </c>
      <c r="K19" s="39" t="e">
        <f>IF(#REF!="","",#REF!)</f>
        <v>#REF!</v>
      </c>
      <c r="L19" s="39" t="e">
        <f>IF(#REF!="","",#REF!)</f>
        <v>#REF!</v>
      </c>
      <c r="M19" s="39" t="e">
        <f>IF(#REF!="","",#REF!)</f>
        <v>#REF!</v>
      </c>
      <c r="N19" s="39" t="e">
        <f>IF(#REF!="","",#REF!)</f>
        <v>#REF!</v>
      </c>
      <c r="O19" s="39" t="e">
        <f>IF(#REF!="","",#REF!)</f>
        <v>#REF!</v>
      </c>
      <c r="P19" s="39" t="e">
        <f>IF(#REF!="","",#REF!)</f>
        <v>#REF!</v>
      </c>
      <c r="Q19" s="39" t="e">
        <f>IF(#REF!="","",#REF!)</f>
        <v>#REF!</v>
      </c>
      <c r="R19" s="41" t="e">
        <f>IF(#REF!="","",#REF!)</f>
        <v>#REF!</v>
      </c>
    </row>
    <row r="20" spans="1:18">
      <c r="A20" s="37">
        <v>36617</v>
      </c>
      <c r="B20" s="39" t="e">
        <f>IF(#REF!="","",#REF!)</f>
        <v>#REF!</v>
      </c>
      <c r="C20" s="39" t="e">
        <f>IF(#REF!="","",#REF!)</f>
        <v>#REF!</v>
      </c>
      <c r="D20" s="39" t="e">
        <f>IF(#REF!="","",#REF!)</f>
        <v>#REF!</v>
      </c>
      <c r="E20" s="39" t="e">
        <f>IF(#REF!="","",#REF!)</f>
        <v>#REF!</v>
      </c>
      <c r="F20" s="39" t="e">
        <f>IF(#REF!="","",#REF!)</f>
        <v>#REF!</v>
      </c>
      <c r="G20" s="39" t="e">
        <f>IF(#REF!="","",#REF!)</f>
        <v>#REF!</v>
      </c>
      <c r="H20" s="39" t="e">
        <f>IF(#REF!="","",#REF!)</f>
        <v>#REF!</v>
      </c>
      <c r="I20" s="39" t="e">
        <f>IF(#REF!="","",#REF!)</f>
        <v>#REF!</v>
      </c>
      <c r="J20" s="39" t="e">
        <f>IF(#REF!="","",#REF!)</f>
        <v>#REF!</v>
      </c>
      <c r="K20" s="39" t="e">
        <f>IF(#REF!="","",#REF!)</f>
        <v>#REF!</v>
      </c>
      <c r="L20" s="39" t="e">
        <f>IF(#REF!="","",#REF!)</f>
        <v>#REF!</v>
      </c>
      <c r="M20" s="39" t="e">
        <f>IF(#REF!="","",#REF!)</f>
        <v>#REF!</v>
      </c>
      <c r="N20" s="39" t="e">
        <f>IF(#REF!="","",#REF!)</f>
        <v>#REF!</v>
      </c>
      <c r="O20" s="39" t="e">
        <f>IF(#REF!="","",#REF!)</f>
        <v>#REF!</v>
      </c>
      <c r="P20" s="39" t="e">
        <f>IF(#REF!="","",#REF!)</f>
        <v>#REF!</v>
      </c>
      <c r="Q20" s="39" t="e">
        <f>IF(#REF!="","",#REF!)</f>
        <v>#REF!</v>
      </c>
      <c r="R20" s="41" t="e">
        <f>IF(#REF!="","",#REF!)</f>
        <v>#REF!</v>
      </c>
    </row>
    <row r="21" spans="1:18">
      <c r="A21" s="37">
        <v>36647</v>
      </c>
      <c r="B21" s="39" t="e">
        <f>IF(#REF!="","",#REF!)</f>
        <v>#REF!</v>
      </c>
      <c r="C21" s="39" t="e">
        <f>IF(#REF!="","",#REF!)</f>
        <v>#REF!</v>
      </c>
      <c r="D21" s="39" t="e">
        <f>IF(#REF!="","",#REF!)</f>
        <v>#REF!</v>
      </c>
      <c r="E21" s="39" t="e">
        <f>IF(#REF!="","",#REF!)</f>
        <v>#REF!</v>
      </c>
      <c r="F21" s="39" t="e">
        <f>IF(#REF!="","",#REF!)</f>
        <v>#REF!</v>
      </c>
      <c r="G21" s="39" t="e">
        <f>IF(#REF!="","",#REF!)</f>
        <v>#REF!</v>
      </c>
      <c r="H21" s="39" t="e">
        <f>IF(#REF!="","",#REF!)</f>
        <v>#REF!</v>
      </c>
      <c r="I21" s="39" t="e">
        <f>IF(#REF!="","",#REF!)</f>
        <v>#REF!</v>
      </c>
      <c r="J21" s="39" t="e">
        <f>IF(#REF!="","",#REF!)</f>
        <v>#REF!</v>
      </c>
      <c r="K21" s="39" t="e">
        <f>IF(#REF!="","",#REF!)</f>
        <v>#REF!</v>
      </c>
      <c r="L21" s="39" t="e">
        <f>IF(#REF!="","",#REF!)</f>
        <v>#REF!</v>
      </c>
      <c r="M21" s="39" t="e">
        <f>IF(#REF!="","",#REF!)</f>
        <v>#REF!</v>
      </c>
      <c r="N21" s="39" t="e">
        <f>IF(#REF!="","",#REF!)</f>
        <v>#REF!</v>
      </c>
      <c r="O21" s="39" t="e">
        <f>IF(#REF!="","",#REF!)</f>
        <v>#REF!</v>
      </c>
      <c r="P21" s="39" t="e">
        <f>IF(#REF!="","",#REF!)</f>
        <v>#REF!</v>
      </c>
      <c r="Q21" s="39" t="e">
        <f>IF(#REF!="","",#REF!)</f>
        <v>#REF!</v>
      </c>
      <c r="R21" s="41" t="e">
        <f>IF(#REF!="","",#REF!)</f>
        <v>#REF!</v>
      </c>
    </row>
    <row r="22" spans="1:18">
      <c r="A22" s="37">
        <v>36678</v>
      </c>
      <c r="B22" s="39" t="e">
        <f>IF(#REF!="","",#REF!)</f>
        <v>#REF!</v>
      </c>
      <c r="C22" s="39" t="e">
        <f>IF(#REF!="","",#REF!)</f>
        <v>#REF!</v>
      </c>
      <c r="D22" s="39" t="e">
        <f>IF(#REF!="","",#REF!)</f>
        <v>#REF!</v>
      </c>
      <c r="E22" s="39" t="e">
        <f>IF(#REF!="","",#REF!)</f>
        <v>#REF!</v>
      </c>
      <c r="F22" s="39" t="e">
        <f>IF(#REF!="","",#REF!)</f>
        <v>#REF!</v>
      </c>
      <c r="G22" s="39" t="e">
        <f>IF(#REF!="","",#REF!)</f>
        <v>#REF!</v>
      </c>
      <c r="H22" s="39" t="e">
        <f>IF(#REF!="","",#REF!)</f>
        <v>#REF!</v>
      </c>
      <c r="I22" s="39" t="e">
        <f>IF(#REF!="","",#REF!)</f>
        <v>#REF!</v>
      </c>
      <c r="J22" s="39" t="e">
        <f>IF(#REF!="","",#REF!)</f>
        <v>#REF!</v>
      </c>
      <c r="K22" s="39" t="e">
        <f>IF(#REF!="","",#REF!)</f>
        <v>#REF!</v>
      </c>
      <c r="L22" s="39" t="e">
        <f>IF(#REF!="","",#REF!)</f>
        <v>#REF!</v>
      </c>
      <c r="M22" s="39" t="e">
        <f>IF(#REF!="","",#REF!)</f>
        <v>#REF!</v>
      </c>
      <c r="N22" s="39" t="e">
        <f>IF(#REF!="","",#REF!)</f>
        <v>#REF!</v>
      </c>
      <c r="O22" s="39" t="e">
        <f>IF(#REF!="","",#REF!)</f>
        <v>#REF!</v>
      </c>
      <c r="P22" s="39" t="e">
        <f>IF(#REF!="","",#REF!)</f>
        <v>#REF!</v>
      </c>
      <c r="Q22" s="39" t="e">
        <f>IF(#REF!="","",#REF!)</f>
        <v>#REF!</v>
      </c>
      <c r="R22" s="41" t="e">
        <f>IF(#REF!="","",#REF!)</f>
        <v>#REF!</v>
      </c>
    </row>
    <row r="23" spans="1:18">
      <c r="A23" s="37">
        <v>36708</v>
      </c>
      <c r="B23" s="39" t="e">
        <f>IF(#REF!="","",#REF!)</f>
        <v>#REF!</v>
      </c>
      <c r="C23" s="39" t="e">
        <f>IF(#REF!="","",#REF!)</f>
        <v>#REF!</v>
      </c>
      <c r="D23" s="39" t="e">
        <f>IF(#REF!="","",#REF!)</f>
        <v>#REF!</v>
      </c>
      <c r="E23" s="39" t="e">
        <f>IF(#REF!="","",#REF!)</f>
        <v>#REF!</v>
      </c>
      <c r="F23" s="39" t="e">
        <f>IF(#REF!="","",#REF!)</f>
        <v>#REF!</v>
      </c>
      <c r="G23" s="39" t="e">
        <f>IF(#REF!="","",#REF!)</f>
        <v>#REF!</v>
      </c>
      <c r="H23" s="39" t="e">
        <f>IF(#REF!="","",#REF!)</f>
        <v>#REF!</v>
      </c>
      <c r="I23" s="39" t="e">
        <f>IF(#REF!="","",#REF!)</f>
        <v>#REF!</v>
      </c>
      <c r="J23" s="39" t="e">
        <f>IF(#REF!="","",#REF!)</f>
        <v>#REF!</v>
      </c>
      <c r="K23" s="39" t="e">
        <f>IF(#REF!="","",#REF!)</f>
        <v>#REF!</v>
      </c>
      <c r="L23" s="39" t="e">
        <f>IF(#REF!="","",#REF!)</f>
        <v>#REF!</v>
      </c>
      <c r="M23" s="39" t="e">
        <f>IF(#REF!="","",#REF!)</f>
        <v>#REF!</v>
      </c>
      <c r="N23" s="39" t="e">
        <f>IF(#REF!="","",#REF!)</f>
        <v>#REF!</v>
      </c>
      <c r="O23" s="39" t="e">
        <f>IF(#REF!="","",#REF!)</f>
        <v>#REF!</v>
      </c>
      <c r="P23" s="39" t="e">
        <f>IF(#REF!="","",#REF!)</f>
        <v>#REF!</v>
      </c>
      <c r="Q23" s="39" t="e">
        <f>IF(#REF!="","",#REF!)</f>
        <v>#REF!</v>
      </c>
      <c r="R23" s="41" t="e">
        <f>IF(#REF!="","",#REF!)</f>
        <v>#REF!</v>
      </c>
    </row>
    <row r="24" spans="1:18">
      <c r="A24" s="37">
        <v>36739</v>
      </c>
      <c r="B24" s="39" t="e">
        <f>IF(#REF!="","",#REF!)</f>
        <v>#REF!</v>
      </c>
      <c r="C24" s="39" t="e">
        <f>IF(#REF!="","",#REF!)</f>
        <v>#REF!</v>
      </c>
      <c r="D24" s="39" t="e">
        <f>IF(#REF!="","",#REF!)</f>
        <v>#REF!</v>
      </c>
      <c r="E24" s="39" t="e">
        <f>IF(#REF!="","",#REF!)</f>
        <v>#REF!</v>
      </c>
      <c r="F24" s="39" t="e">
        <f>IF(#REF!="","",#REF!)</f>
        <v>#REF!</v>
      </c>
      <c r="G24" s="39" t="e">
        <f>IF(#REF!="","",#REF!)</f>
        <v>#REF!</v>
      </c>
      <c r="H24" s="39" t="e">
        <f>IF(#REF!="","",#REF!)</f>
        <v>#REF!</v>
      </c>
      <c r="I24" s="39" t="e">
        <f>IF(#REF!="","",#REF!)</f>
        <v>#REF!</v>
      </c>
      <c r="J24" s="39" t="e">
        <f>IF(#REF!="","",#REF!)</f>
        <v>#REF!</v>
      </c>
      <c r="K24" s="39" t="e">
        <f>IF(#REF!="","",#REF!)</f>
        <v>#REF!</v>
      </c>
      <c r="L24" s="39" t="e">
        <f>IF(#REF!="","",#REF!)</f>
        <v>#REF!</v>
      </c>
      <c r="M24" s="39" t="e">
        <f>IF(#REF!="","",#REF!)</f>
        <v>#REF!</v>
      </c>
      <c r="N24" s="39" t="e">
        <f>IF(#REF!="","",#REF!)</f>
        <v>#REF!</v>
      </c>
      <c r="O24" s="39" t="e">
        <f>IF(#REF!="","",#REF!)</f>
        <v>#REF!</v>
      </c>
      <c r="P24" s="39" t="e">
        <f>IF(#REF!="","",#REF!)</f>
        <v>#REF!</v>
      </c>
      <c r="Q24" s="39" t="e">
        <f>IF(#REF!="","",#REF!)</f>
        <v>#REF!</v>
      </c>
      <c r="R24" s="41" t="e">
        <f>IF(#REF!="","",#REF!)</f>
        <v>#REF!</v>
      </c>
    </row>
    <row r="25" spans="1:18">
      <c r="A25" s="37">
        <v>36770</v>
      </c>
      <c r="B25" s="39" t="e">
        <f>IF(#REF!="","",#REF!)</f>
        <v>#REF!</v>
      </c>
      <c r="C25" s="39" t="e">
        <f>IF(#REF!="","",#REF!)</f>
        <v>#REF!</v>
      </c>
      <c r="D25" s="39" t="e">
        <f>IF(#REF!="","",#REF!)</f>
        <v>#REF!</v>
      </c>
      <c r="E25" s="39" t="e">
        <f>IF(#REF!="","",#REF!)</f>
        <v>#REF!</v>
      </c>
      <c r="F25" s="39" t="e">
        <f>IF(#REF!="","",#REF!)</f>
        <v>#REF!</v>
      </c>
      <c r="G25" s="39" t="e">
        <f>IF(#REF!="","",#REF!)</f>
        <v>#REF!</v>
      </c>
      <c r="H25" s="39" t="e">
        <f>IF(#REF!="","",#REF!)</f>
        <v>#REF!</v>
      </c>
      <c r="I25" s="39" t="e">
        <f>IF(#REF!="","",#REF!)</f>
        <v>#REF!</v>
      </c>
      <c r="J25" s="39" t="e">
        <f>IF(#REF!="","",#REF!)</f>
        <v>#REF!</v>
      </c>
      <c r="K25" s="39" t="e">
        <f>IF(#REF!="","",#REF!)</f>
        <v>#REF!</v>
      </c>
      <c r="L25" s="39" t="e">
        <f>IF(#REF!="","",#REF!)</f>
        <v>#REF!</v>
      </c>
      <c r="M25" s="39" t="e">
        <f>IF(#REF!="","",#REF!)</f>
        <v>#REF!</v>
      </c>
      <c r="N25" s="39" t="e">
        <f>IF(#REF!="","",#REF!)</f>
        <v>#REF!</v>
      </c>
      <c r="O25" s="39" t="e">
        <f>IF(#REF!="","",#REF!)</f>
        <v>#REF!</v>
      </c>
      <c r="P25" s="39" t="e">
        <f>IF(#REF!="","",#REF!)</f>
        <v>#REF!</v>
      </c>
      <c r="Q25" s="39" t="e">
        <f>IF(#REF!="","",#REF!)</f>
        <v>#REF!</v>
      </c>
      <c r="R25" s="41" t="e">
        <f>IF(#REF!="","",#REF!)</f>
        <v>#REF!</v>
      </c>
    </row>
    <row r="26" spans="1:18">
      <c r="A26" s="37">
        <v>36800</v>
      </c>
      <c r="B26" s="39" t="e">
        <f>IF(#REF!="","",#REF!)</f>
        <v>#REF!</v>
      </c>
      <c r="C26" s="39" t="e">
        <f>IF(#REF!="","",#REF!)</f>
        <v>#REF!</v>
      </c>
      <c r="D26" s="39" t="e">
        <f>IF(#REF!="","",#REF!)</f>
        <v>#REF!</v>
      </c>
      <c r="E26" s="39" t="e">
        <f>IF(#REF!="","",#REF!)</f>
        <v>#REF!</v>
      </c>
      <c r="F26" s="39" t="e">
        <f>IF(#REF!="","",#REF!)</f>
        <v>#REF!</v>
      </c>
      <c r="G26" s="39" t="e">
        <f>IF(#REF!="","",#REF!)</f>
        <v>#REF!</v>
      </c>
      <c r="H26" s="39" t="e">
        <f>IF(#REF!="","",#REF!)</f>
        <v>#REF!</v>
      </c>
      <c r="I26" s="39" t="e">
        <f>IF(#REF!="","",#REF!)</f>
        <v>#REF!</v>
      </c>
      <c r="J26" s="39" t="e">
        <f>IF(#REF!="","",#REF!)</f>
        <v>#REF!</v>
      </c>
      <c r="K26" s="39" t="e">
        <f>IF(#REF!="","",#REF!)</f>
        <v>#REF!</v>
      </c>
      <c r="L26" s="39" t="e">
        <f>IF(#REF!="","",#REF!)</f>
        <v>#REF!</v>
      </c>
      <c r="M26" s="39" t="e">
        <f>IF(#REF!="","",#REF!)</f>
        <v>#REF!</v>
      </c>
      <c r="N26" s="39" t="e">
        <f>IF(#REF!="","",#REF!)</f>
        <v>#REF!</v>
      </c>
      <c r="O26" s="39" t="e">
        <f>IF(#REF!="","",#REF!)</f>
        <v>#REF!</v>
      </c>
      <c r="P26" s="39" t="e">
        <f>IF(#REF!="","",#REF!)</f>
        <v>#REF!</v>
      </c>
      <c r="Q26" s="39" t="e">
        <f>IF(#REF!="","",#REF!)</f>
        <v>#REF!</v>
      </c>
      <c r="R26" s="41" t="e">
        <f>IF(#REF!="","",#REF!)</f>
        <v>#REF!</v>
      </c>
    </row>
    <row r="27" spans="1:18">
      <c r="A27" s="37">
        <v>36831</v>
      </c>
      <c r="B27" s="39" t="e">
        <f>IF(#REF!="","",#REF!)</f>
        <v>#REF!</v>
      </c>
      <c r="C27" s="39" t="e">
        <f>IF(#REF!="","",#REF!)</f>
        <v>#REF!</v>
      </c>
      <c r="D27" s="39" t="e">
        <f>IF(#REF!="","",#REF!)</f>
        <v>#REF!</v>
      </c>
      <c r="E27" s="39" t="e">
        <f>IF(#REF!="","",#REF!)</f>
        <v>#REF!</v>
      </c>
      <c r="F27" s="39" t="e">
        <f>IF(#REF!="","",#REF!)</f>
        <v>#REF!</v>
      </c>
      <c r="G27" s="39" t="e">
        <f>IF(#REF!="","",#REF!)</f>
        <v>#REF!</v>
      </c>
      <c r="H27" s="39" t="e">
        <f>IF(#REF!="","",#REF!)</f>
        <v>#REF!</v>
      </c>
      <c r="I27" s="39" t="e">
        <f>IF(#REF!="","",#REF!)</f>
        <v>#REF!</v>
      </c>
      <c r="J27" s="39" t="e">
        <f>IF(#REF!="","",#REF!)</f>
        <v>#REF!</v>
      </c>
      <c r="K27" s="39" t="e">
        <f>IF(#REF!="","",#REF!)</f>
        <v>#REF!</v>
      </c>
      <c r="L27" s="39" t="e">
        <f>IF(#REF!="","",#REF!)</f>
        <v>#REF!</v>
      </c>
      <c r="M27" s="39" t="e">
        <f>IF(#REF!="","",#REF!)</f>
        <v>#REF!</v>
      </c>
      <c r="N27" s="39" t="e">
        <f>IF(#REF!="","",#REF!)</f>
        <v>#REF!</v>
      </c>
      <c r="O27" s="39" t="e">
        <f>IF(#REF!="","",#REF!)</f>
        <v>#REF!</v>
      </c>
      <c r="P27" s="39" t="e">
        <f>IF(#REF!="","",#REF!)</f>
        <v>#REF!</v>
      </c>
      <c r="Q27" s="39" t="e">
        <f>IF(#REF!="","",#REF!)</f>
        <v>#REF!</v>
      </c>
      <c r="R27" s="41" t="e">
        <f>IF(#REF!="","",#REF!)</f>
        <v>#REF!</v>
      </c>
    </row>
    <row r="28" spans="1:18">
      <c r="A28" s="37">
        <v>36861</v>
      </c>
      <c r="B28" s="39" t="e">
        <f>IF(#REF!="","",#REF!)</f>
        <v>#REF!</v>
      </c>
      <c r="C28" s="39" t="e">
        <f>IF(#REF!="","",#REF!)</f>
        <v>#REF!</v>
      </c>
      <c r="D28" s="39" t="e">
        <f>IF(#REF!="","",#REF!)</f>
        <v>#REF!</v>
      </c>
      <c r="E28" s="39" t="e">
        <f>IF(#REF!="","",#REF!)</f>
        <v>#REF!</v>
      </c>
      <c r="F28" s="39" t="e">
        <f>IF(#REF!="","",#REF!)</f>
        <v>#REF!</v>
      </c>
      <c r="G28" s="39" t="e">
        <f>IF(#REF!="","",#REF!)</f>
        <v>#REF!</v>
      </c>
      <c r="H28" s="39" t="e">
        <f>IF(#REF!="","",#REF!)</f>
        <v>#REF!</v>
      </c>
      <c r="I28" s="39" t="e">
        <f>IF(#REF!="","",#REF!)</f>
        <v>#REF!</v>
      </c>
      <c r="J28" s="39" t="e">
        <f>IF(#REF!="","",#REF!)</f>
        <v>#REF!</v>
      </c>
      <c r="K28" s="39" t="e">
        <f>IF(#REF!="","",#REF!)</f>
        <v>#REF!</v>
      </c>
      <c r="L28" s="39" t="e">
        <f>IF(#REF!="","",#REF!)</f>
        <v>#REF!</v>
      </c>
      <c r="M28" s="39" t="e">
        <f>IF(#REF!="","",#REF!)</f>
        <v>#REF!</v>
      </c>
      <c r="N28" s="39" t="e">
        <f>IF(#REF!="","",#REF!)</f>
        <v>#REF!</v>
      </c>
      <c r="O28" s="39" t="e">
        <f>IF(#REF!="","",#REF!)</f>
        <v>#REF!</v>
      </c>
      <c r="P28" s="39" t="e">
        <f>IF(#REF!="","",#REF!)</f>
        <v>#REF!</v>
      </c>
      <c r="Q28" s="39" t="e">
        <f>IF(#REF!="","",#REF!)</f>
        <v>#REF!</v>
      </c>
      <c r="R28" s="41" t="e">
        <f>IF(#REF!="","",#REF!)</f>
        <v>#REF!</v>
      </c>
    </row>
    <row r="29" spans="1:18">
      <c r="A29" s="37">
        <v>36892</v>
      </c>
      <c r="B29" s="39" t="e">
        <f>IF(#REF!="","",#REF!)</f>
        <v>#REF!</v>
      </c>
      <c r="C29" s="39" t="e">
        <f>IF(#REF!="","",#REF!)</f>
        <v>#REF!</v>
      </c>
      <c r="D29" s="39" t="e">
        <f>IF(#REF!="","",#REF!)</f>
        <v>#REF!</v>
      </c>
      <c r="E29" s="39" t="e">
        <f>IF(#REF!="","",#REF!)</f>
        <v>#REF!</v>
      </c>
      <c r="F29" s="39" t="e">
        <f>IF(#REF!="","",#REF!)</f>
        <v>#REF!</v>
      </c>
      <c r="G29" s="39" t="e">
        <f>IF(#REF!="","",#REF!)</f>
        <v>#REF!</v>
      </c>
      <c r="H29" s="39" t="e">
        <f>IF(#REF!="","",#REF!)</f>
        <v>#REF!</v>
      </c>
      <c r="I29" s="39" t="e">
        <f>IF(#REF!="","",#REF!)</f>
        <v>#REF!</v>
      </c>
      <c r="J29" s="39" t="e">
        <f>IF(#REF!="","",#REF!)</f>
        <v>#REF!</v>
      </c>
      <c r="K29" s="39" t="e">
        <f>IF(#REF!="","",#REF!)</f>
        <v>#REF!</v>
      </c>
      <c r="L29" s="39" t="e">
        <f>IF(#REF!="","",#REF!)</f>
        <v>#REF!</v>
      </c>
      <c r="M29" s="39" t="e">
        <f>IF(#REF!="","",#REF!)</f>
        <v>#REF!</v>
      </c>
      <c r="N29" s="39" t="e">
        <f>IF(#REF!="","",#REF!)</f>
        <v>#REF!</v>
      </c>
      <c r="O29" s="39" t="e">
        <f>IF(#REF!="","",#REF!)</f>
        <v>#REF!</v>
      </c>
      <c r="P29" s="39" t="e">
        <f>IF(#REF!="","",#REF!)</f>
        <v>#REF!</v>
      </c>
      <c r="Q29" s="39" t="e">
        <f>IF(#REF!="","",#REF!)</f>
        <v>#REF!</v>
      </c>
      <c r="R29" s="41" t="e">
        <f>IF(#REF!="","",#REF!)</f>
        <v>#REF!</v>
      </c>
    </row>
    <row r="30" spans="1:18">
      <c r="A30" s="37">
        <v>36923</v>
      </c>
      <c r="B30" s="39" t="e">
        <f>IF(#REF!="","",#REF!)</f>
        <v>#REF!</v>
      </c>
      <c r="C30" s="39" t="e">
        <f>IF(#REF!="","",#REF!)</f>
        <v>#REF!</v>
      </c>
      <c r="D30" s="39" t="e">
        <f>IF(#REF!="","",#REF!)</f>
        <v>#REF!</v>
      </c>
      <c r="E30" s="39" t="e">
        <f>IF(#REF!="","",#REF!)</f>
        <v>#REF!</v>
      </c>
      <c r="F30" s="39" t="e">
        <f>IF(#REF!="","",#REF!)</f>
        <v>#REF!</v>
      </c>
      <c r="G30" s="39" t="e">
        <f>IF(#REF!="","",#REF!)</f>
        <v>#REF!</v>
      </c>
      <c r="H30" s="39" t="e">
        <f>IF(#REF!="","",#REF!)</f>
        <v>#REF!</v>
      </c>
      <c r="I30" s="39" t="e">
        <f>IF(#REF!="","",#REF!)</f>
        <v>#REF!</v>
      </c>
      <c r="J30" s="39" t="e">
        <f>IF(#REF!="","",#REF!)</f>
        <v>#REF!</v>
      </c>
      <c r="K30" s="39" t="e">
        <f>IF(#REF!="","",#REF!)</f>
        <v>#REF!</v>
      </c>
      <c r="L30" s="39" t="e">
        <f>IF(#REF!="","",#REF!)</f>
        <v>#REF!</v>
      </c>
      <c r="M30" s="39" t="e">
        <f>IF(#REF!="","",#REF!)</f>
        <v>#REF!</v>
      </c>
      <c r="N30" s="39" t="e">
        <f>IF(#REF!="","",#REF!)</f>
        <v>#REF!</v>
      </c>
      <c r="O30" s="39" t="e">
        <f>IF(#REF!="","",#REF!)</f>
        <v>#REF!</v>
      </c>
      <c r="P30" s="39" t="e">
        <f>IF(#REF!="","",#REF!)</f>
        <v>#REF!</v>
      </c>
      <c r="Q30" s="39" t="e">
        <f>IF(#REF!="","",#REF!)</f>
        <v>#REF!</v>
      </c>
      <c r="R30" s="41" t="e">
        <f>IF(#REF!="","",#REF!)</f>
        <v>#REF!</v>
      </c>
    </row>
    <row r="31" spans="1:18">
      <c r="A31" s="37">
        <v>36951</v>
      </c>
      <c r="B31" s="39" t="e">
        <f>IF(#REF!="","",#REF!)</f>
        <v>#REF!</v>
      </c>
      <c r="C31" s="39" t="e">
        <f>IF(#REF!="","",#REF!)</f>
        <v>#REF!</v>
      </c>
      <c r="D31" s="39" t="e">
        <f>IF(#REF!="","",#REF!)</f>
        <v>#REF!</v>
      </c>
      <c r="E31" s="39" t="e">
        <f>IF(#REF!="","",#REF!)</f>
        <v>#REF!</v>
      </c>
      <c r="F31" s="39" t="e">
        <f>IF(#REF!="","",#REF!)</f>
        <v>#REF!</v>
      </c>
      <c r="G31" s="39" t="e">
        <f>IF(#REF!="","",#REF!)</f>
        <v>#REF!</v>
      </c>
      <c r="H31" s="39" t="e">
        <f>IF(#REF!="","",#REF!)</f>
        <v>#REF!</v>
      </c>
      <c r="I31" s="39" t="e">
        <f>IF(#REF!="","",#REF!)</f>
        <v>#REF!</v>
      </c>
      <c r="J31" s="39" t="e">
        <f>IF(#REF!="","",#REF!)</f>
        <v>#REF!</v>
      </c>
      <c r="K31" s="39" t="e">
        <f>IF(#REF!="","",#REF!)</f>
        <v>#REF!</v>
      </c>
      <c r="L31" s="39" t="e">
        <f>IF(#REF!="","",#REF!)</f>
        <v>#REF!</v>
      </c>
      <c r="M31" s="39" t="e">
        <f>IF(#REF!="","",#REF!)</f>
        <v>#REF!</v>
      </c>
      <c r="N31" s="39" t="e">
        <f>IF(#REF!="","",#REF!)</f>
        <v>#REF!</v>
      </c>
      <c r="O31" s="39" t="e">
        <f>IF(#REF!="","",#REF!)</f>
        <v>#REF!</v>
      </c>
      <c r="P31" s="39" t="e">
        <f>IF(#REF!="","",#REF!)</f>
        <v>#REF!</v>
      </c>
      <c r="Q31" s="39" t="e">
        <f>IF(#REF!="","",#REF!)</f>
        <v>#REF!</v>
      </c>
      <c r="R31" s="41" t="e">
        <f>IF(#REF!="","",#REF!)</f>
        <v>#REF!</v>
      </c>
    </row>
    <row r="32" spans="1:18">
      <c r="A32" s="37">
        <v>36982</v>
      </c>
      <c r="B32" s="39" t="e">
        <f>IF(#REF!="","",#REF!)</f>
        <v>#REF!</v>
      </c>
      <c r="C32" s="39" t="e">
        <f>IF(#REF!="","",#REF!)</f>
        <v>#REF!</v>
      </c>
      <c r="D32" s="39" t="e">
        <f>IF(#REF!="","",#REF!)</f>
        <v>#REF!</v>
      </c>
      <c r="E32" s="39" t="e">
        <f>IF(#REF!="","",#REF!)</f>
        <v>#REF!</v>
      </c>
      <c r="F32" s="39" t="e">
        <f>IF(#REF!="","",#REF!)</f>
        <v>#REF!</v>
      </c>
      <c r="G32" s="39" t="e">
        <f>IF(#REF!="","",#REF!)</f>
        <v>#REF!</v>
      </c>
      <c r="H32" s="39" t="e">
        <f>IF(#REF!="","",#REF!)</f>
        <v>#REF!</v>
      </c>
      <c r="I32" s="39" t="e">
        <f>IF(#REF!="","",#REF!)</f>
        <v>#REF!</v>
      </c>
      <c r="J32" s="39" t="e">
        <f>IF(#REF!="","",#REF!)</f>
        <v>#REF!</v>
      </c>
      <c r="K32" s="39" t="e">
        <f>IF(#REF!="","",#REF!)</f>
        <v>#REF!</v>
      </c>
      <c r="L32" s="39" t="e">
        <f>IF(#REF!="","",#REF!)</f>
        <v>#REF!</v>
      </c>
      <c r="M32" s="39" t="e">
        <f>IF(#REF!="","",#REF!)</f>
        <v>#REF!</v>
      </c>
      <c r="N32" s="39" t="e">
        <f>IF(#REF!="","",#REF!)</f>
        <v>#REF!</v>
      </c>
      <c r="O32" s="39" t="e">
        <f>IF(#REF!="","",#REF!)</f>
        <v>#REF!</v>
      </c>
      <c r="P32" s="39" t="e">
        <f>IF(#REF!="","",#REF!)</f>
        <v>#REF!</v>
      </c>
      <c r="Q32" s="39" t="e">
        <f>IF(#REF!="","",#REF!)</f>
        <v>#REF!</v>
      </c>
      <c r="R32" s="41" t="e">
        <f>IF(#REF!="","",#REF!)</f>
        <v>#REF!</v>
      </c>
    </row>
    <row r="33" spans="1:18">
      <c r="A33" s="37">
        <v>37012</v>
      </c>
      <c r="B33" s="39" t="e">
        <f>IF(#REF!="","",#REF!)</f>
        <v>#REF!</v>
      </c>
      <c r="C33" s="39" t="e">
        <f>IF(#REF!="","",#REF!)</f>
        <v>#REF!</v>
      </c>
      <c r="D33" s="39" t="e">
        <f>IF(#REF!="","",#REF!)</f>
        <v>#REF!</v>
      </c>
      <c r="E33" s="39" t="e">
        <f>IF(#REF!="","",#REF!)</f>
        <v>#REF!</v>
      </c>
      <c r="F33" s="39" t="e">
        <f>IF(#REF!="","",#REF!)</f>
        <v>#REF!</v>
      </c>
      <c r="G33" s="39" t="e">
        <f>IF(#REF!="","",#REF!)</f>
        <v>#REF!</v>
      </c>
      <c r="H33" s="39" t="e">
        <f>IF(#REF!="","",#REF!)</f>
        <v>#REF!</v>
      </c>
      <c r="I33" s="39" t="e">
        <f>IF(#REF!="","",#REF!)</f>
        <v>#REF!</v>
      </c>
      <c r="J33" s="39" t="e">
        <f>IF(#REF!="","",#REF!)</f>
        <v>#REF!</v>
      </c>
      <c r="K33" s="39" t="e">
        <f>IF(#REF!="","",#REF!)</f>
        <v>#REF!</v>
      </c>
      <c r="L33" s="39" t="e">
        <f>IF(#REF!="","",#REF!)</f>
        <v>#REF!</v>
      </c>
      <c r="M33" s="39" t="e">
        <f>IF(#REF!="","",#REF!)</f>
        <v>#REF!</v>
      </c>
      <c r="N33" s="39" t="e">
        <f>IF(#REF!="","",#REF!)</f>
        <v>#REF!</v>
      </c>
      <c r="O33" s="39" t="e">
        <f>IF(#REF!="","",#REF!)</f>
        <v>#REF!</v>
      </c>
      <c r="P33" s="39" t="e">
        <f>IF(#REF!="","",#REF!)</f>
        <v>#REF!</v>
      </c>
      <c r="Q33" s="39" t="e">
        <f>IF(#REF!="","",#REF!)</f>
        <v>#REF!</v>
      </c>
      <c r="R33" s="41" t="e">
        <f>IF(#REF!="","",#REF!)</f>
        <v>#REF!</v>
      </c>
    </row>
    <row r="34" spans="1:18">
      <c r="A34" s="37">
        <v>37043</v>
      </c>
      <c r="B34" s="39" t="e">
        <f>IF(#REF!="","",#REF!)</f>
        <v>#REF!</v>
      </c>
      <c r="C34" s="39" t="e">
        <f>IF(#REF!="","",#REF!)</f>
        <v>#REF!</v>
      </c>
      <c r="D34" s="39" t="e">
        <f>IF(#REF!="","",#REF!)</f>
        <v>#REF!</v>
      </c>
      <c r="E34" s="39" t="e">
        <f>IF(#REF!="","",#REF!)</f>
        <v>#REF!</v>
      </c>
      <c r="F34" s="39" t="e">
        <f>IF(#REF!="","",#REF!)</f>
        <v>#REF!</v>
      </c>
      <c r="G34" s="39" t="e">
        <f>IF(#REF!="","",#REF!)</f>
        <v>#REF!</v>
      </c>
      <c r="H34" s="39" t="e">
        <f>IF(#REF!="","",#REF!)</f>
        <v>#REF!</v>
      </c>
      <c r="I34" s="39" t="e">
        <f>IF(#REF!="","",#REF!)</f>
        <v>#REF!</v>
      </c>
      <c r="J34" s="39" t="e">
        <f>IF(#REF!="","",#REF!)</f>
        <v>#REF!</v>
      </c>
      <c r="K34" s="39" t="e">
        <f>IF(#REF!="","",#REF!)</f>
        <v>#REF!</v>
      </c>
      <c r="L34" s="39" t="e">
        <f>IF(#REF!="","",#REF!)</f>
        <v>#REF!</v>
      </c>
      <c r="M34" s="39" t="e">
        <f>IF(#REF!="","",#REF!)</f>
        <v>#REF!</v>
      </c>
      <c r="N34" s="39" t="e">
        <f>IF(#REF!="","",#REF!)</f>
        <v>#REF!</v>
      </c>
      <c r="O34" s="39" t="e">
        <f>IF(#REF!="","",#REF!)</f>
        <v>#REF!</v>
      </c>
      <c r="P34" s="39" t="e">
        <f>IF(#REF!="","",#REF!)</f>
        <v>#REF!</v>
      </c>
      <c r="Q34" s="39" t="e">
        <f>IF(#REF!="","",#REF!)</f>
        <v>#REF!</v>
      </c>
      <c r="R34" s="41" t="e">
        <f>IF(#REF!="","",#REF!)</f>
        <v>#REF!</v>
      </c>
    </row>
    <row r="35" spans="1:18">
      <c r="A35" s="37">
        <v>37073</v>
      </c>
      <c r="B35" s="39" t="e">
        <f>IF(#REF!="","",#REF!)</f>
        <v>#REF!</v>
      </c>
      <c r="C35" s="39" t="e">
        <f>IF(#REF!="","",#REF!)</f>
        <v>#REF!</v>
      </c>
      <c r="D35" s="39" t="e">
        <f>IF(#REF!="","",#REF!)</f>
        <v>#REF!</v>
      </c>
      <c r="E35" s="39" t="e">
        <f>IF(#REF!="","",#REF!)</f>
        <v>#REF!</v>
      </c>
      <c r="F35" s="39" t="e">
        <f>IF(#REF!="","",#REF!)</f>
        <v>#REF!</v>
      </c>
      <c r="G35" s="39" t="e">
        <f>IF(#REF!="","",#REF!)</f>
        <v>#REF!</v>
      </c>
      <c r="H35" s="39" t="e">
        <f>IF(#REF!="","",#REF!)</f>
        <v>#REF!</v>
      </c>
      <c r="I35" s="39" t="e">
        <f>IF(#REF!="","",#REF!)</f>
        <v>#REF!</v>
      </c>
      <c r="J35" s="39" t="e">
        <f>IF(#REF!="","",#REF!)</f>
        <v>#REF!</v>
      </c>
      <c r="K35" s="39" t="e">
        <f>IF(#REF!="","",#REF!)</f>
        <v>#REF!</v>
      </c>
      <c r="L35" s="39" t="e">
        <f>IF(#REF!="","",#REF!)</f>
        <v>#REF!</v>
      </c>
      <c r="M35" s="39" t="e">
        <f>IF(#REF!="","",#REF!)</f>
        <v>#REF!</v>
      </c>
      <c r="N35" s="39" t="e">
        <f>IF(#REF!="","",#REF!)</f>
        <v>#REF!</v>
      </c>
      <c r="O35" s="39" t="e">
        <f>IF(#REF!="","",#REF!)</f>
        <v>#REF!</v>
      </c>
      <c r="P35" s="39" t="e">
        <f>IF(#REF!="","",#REF!)</f>
        <v>#REF!</v>
      </c>
      <c r="Q35" s="39" t="e">
        <f>IF(#REF!="","",#REF!)</f>
        <v>#REF!</v>
      </c>
      <c r="R35" s="41" t="e">
        <f>IF(#REF!="","",#REF!)</f>
        <v>#REF!</v>
      </c>
    </row>
    <row r="36" spans="1:18">
      <c r="A36" s="37">
        <v>37104</v>
      </c>
      <c r="B36" s="39" t="e">
        <f>IF(#REF!="","",#REF!)</f>
        <v>#REF!</v>
      </c>
      <c r="C36" s="39" t="e">
        <f>IF(#REF!="","",#REF!)</f>
        <v>#REF!</v>
      </c>
      <c r="D36" s="39" t="e">
        <f>IF(#REF!="","",#REF!)</f>
        <v>#REF!</v>
      </c>
      <c r="E36" s="39" t="e">
        <f>IF(#REF!="","",#REF!)</f>
        <v>#REF!</v>
      </c>
      <c r="F36" s="39" t="e">
        <f>IF(#REF!="","",#REF!)</f>
        <v>#REF!</v>
      </c>
      <c r="G36" s="39" t="e">
        <f>IF(#REF!="","",#REF!)</f>
        <v>#REF!</v>
      </c>
      <c r="H36" s="39" t="e">
        <f>IF(#REF!="","",#REF!)</f>
        <v>#REF!</v>
      </c>
      <c r="I36" s="39" t="e">
        <f>IF(#REF!="","",#REF!)</f>
        <v>#REF!</v>
      </c>
      <c r="J36" s="39" t="e">
        <f>IF(#REF!="","",#REF!)</f>
        <v>#REF!</v>
      </c>
      <c r="K36" s="39" t="e">
        <f>IF(#REF!="","",#REF!)</f>
        <v>#REF!</v>
      </c>
      <c r="L36" s="39" t="e">
        <f>IF(#REF!="","",#REF!)</f>
        <v>#REF!</v>
      </c>
      <c r="M36" s="39" t="e">
        <f>IF(#REF!="","",#REF!)</f>
        <v>#REF!</v>
      </c>
      <c r="N36" s="39" t="e">
        <f>IF(#REF!="","",#REF!)</f>
        <v>#REF!</v>
      </c>
      <c r="O36" s="39" t="e">
        <f>IF(#REF!="","",#REF!)</f>
        <v>#REF!</v>
      </c>
      <c r="P36" s="39" t="e">
        <f>IF(#REF!="","",#REF!)</f>
        <v>#REF!</v>
      </c>
      <c r="Q36" s="39" t="e">
        <f>IF(#REF!="","",#REF!)</f>
        <v>#REF!</v>
      </c>
      <c r="R36" s="41" t="e">
        <f>IF(#REF!="","",#REF!)</f>
        <v>#REF!</v>
      </c>
    </row>
    <row r="37" spans="1:18">
      <c r="A37" s="37">
        <v>37135</v>
      </c>
      <c r="B37" s="39" t="e">
        <f>IF(#REF!="","",#REF!)</f>
        <v>#REF!</v>
      </c>
      <c r="C37" s="39" t="e">
        <f>IF(#REF!="","",#REF!)</f>
        <v>#REF!</v>
      </c>
      <c r="D37" s="39" t="e">
        <f>IF(#REF!="","",#REF!)</f>
        <v>#REF!</v>
      </c>
      <c r="E37" s="39" t="e">
        <f>IF(#REF!="","",#REF!)</f>
        <v>#REF!</v>
      </c>
      <c r="F37" s="39" t="e">
        <f>IF(#REF!="","",#REF!)</f>
        <v>#REF!</v>
      </c>
      <c r="G37" s="39" t="e">
        <f>IF(#REF!="","",#REF!)</f>
        <v>#REF!</v>
      </c>
      <c r="H37" s="39" t="e">
        <f>IF(#REF!="","",#REF!)</f>
        <v>#REF!</v>
      </c>
      <c r="I37" s="39" t="e">
        <f>IF(#REF!="","",#REF!)</f>
        <v>#REF!</v>
      </c>
      <c r="J37" s="39" t="e">
        <f>IF(#REF!="","",#REF!)</f>
        <v>#REF!</v>
      </c>
      <c r="K37" s="39" t="e">
        <f>IF(#REF!="","",#REF!)</f>
        <v>#REF!</v>
      </c>
      <c r="L37" s="39" t="e">
        <f>IF(#REF!="","",#REF!)</f>
        <v>#REF!</v>
      </c>
      <c r="M37" s="39" t="e">
        <f>IF(#REF!="","",#REF!)</f>
        <v>#REF!</v>
      </c>
      <c r="N37" s="39" t="e">
        <f>IF(#REF!="","",#REF!)</f>
        <v>#REF!</v>
      </c>
      <c r="O37" s="39" t="e">
        <f>IF(#REF!="","",#REF!)</f>
        <v>#REF!</v>
      </c>
      <c r="P37" s="39" t="e">
        <f>IF(#REF!="","",#REF!)</f>
        <v>#REF!</v>
      </c>
      <c r="Q37" s="39" t="e">
        <f>IF(#REF!="","",#REF!)</f>
        <v>#REF!</v>
      </c>
      <c r="R37" s="41" t="e">
        <f>IF(#REF!="","",#REF!)</f>
        <v>#REF!</v>
      </c>
    </row>
    <row r="38" spans="1:18">
      <c r="A38" s="37">
        <v>37165</v>
      </c>
      <c r="B38" s="39" t="e">
        <f>IF(#REF!="","",#REF!)</f>
        <v>#REF!</v>
      </c>
      <c r="C38" s="39" t="e">
        <f>IF(#REF!="","",#REF!)</f>
        <v>#REF!</v>
      </c>
      <c r="D38" s="39" t="e">
        <f>IF(#REF!="","",#REF!)</f>
        <v>#REF!</v>
      </c>
      <c r="E38" s="39" t="e">
        <f>IF(#REF!="","",#REF!)</f>
        <v>#REF!</v>
      </c>
      <c r="F38" s="39" t="e">
        <f>IF(#REF!="","",#REF!)</f>
        <v>#REF!</v>
      </c>
      <c r="G38" s="39" t="e">
        <f>IF(#REF!="","",#REF!)</f>
        <v>#REF!</v>
      </c>
      <c r="H38" s="39" t="e">
        <f>IF(#REF!="","",#REF!)</f>
        <v>#REF!</v>
      </c>
      <c r="I38" s="39" t="e">
        <f>IF(#REF!="","",#REF!)</f>
        <v>#REF!</v>
      </c>
      <c r="J38" s="39" t="e">
        <f>IF(#REF!="","",#REF!)</f>
        <v>#REF!</v>
      </c>
      <c r="K38" s="39" t="e">
        <f>IF(#REF!="","",#REF!)</f>
        <v>#REF!</v>
      </c>
      <c r="L38" s="39" t="e">
        <f>IF(#REF!="","",#REF!)</f>
        <v>#REF!</v>
      </c>
      <c r="M38" s="39" t="e">
        <f>IF(#REF!="","",#REF!)</f>
        <v>#REF!</v>
      </c>
      <c r="N38" s="39" t="e">
        <f>IF(#REF!="","",#REF!)</f>
        <v>#REF!</v>
      </c>
      <c r="O38" s="39" t="e">
        <f>IF(#REF!="","",#REF!)</f>
        <v>#REF!</v>
      </c>
      <c r="P38" s="39" t="e">
        <f>IF(#REF!="","",#REF!)</f>
        <v>#REF!</v>
      </c>
      <c r="Q38" s="39" t="e">
        <f>IF(#REF!="","",#REF!)</f>
        <v>#REF!</v>
      </c>
      <c r="R38" s="41" t="e">
        <f>IF(#REF!="","",#REF!)</f>
        <v>#REF!</v>
      </c>
    </row>
    <row r="39" spans="1:18">
      <c r="A39" s="37">
        <v>37196</v>
      </c>
      <c r="B39" s="39" t="e">
        <f>IF(#REF!="","",#REF!)</f>
        <v>#REF!</v>
      </c>
      <c r="C39" s="39" t="e">
        <f>IF(#REF!="","",#REF!)</f>
        <v>#REF!</v>
      </c>
      <c r="D39" s="39" t="e">
        <f>IF(#REF!="","",#REF!)</f>
        <v>#REF!</v>
      </c>
      <c r="E39" s="39" t="e">
        <f>IF(#REF!="","",#REF!)</f>
        <v>#REF!</v>
      </c>
      <c r="F39" s="39" t="e">
        <f>IF(#REF!="","",#REF!)</f>
        <v>#REF!</v>
      </c>
      <c r="G39" s="39" t="e">
        <f>IF(#REF!="","",#REF!)</f>
        <v>#REF!</v>
      </c>
      <c r="H39" s="39" t="e">
        <f>IF(#REF!="","",#REF!)</f>
        <v>#REF!</v>
      </c>
      <c r="I39" s="39" t="e">
        <f>IF(#REF!="","",#REF!)</f>
        <v>#REF!</v>
      </c>
      <c r="J39" s="39" t="e">
        <f>IF(#REF!="","",#REF!)</f>
        <v>#REF!</v>
      </c>
      <c r="K39" s="39" t="e">
        <f>IF(#REF!="","",#REF!)</f>
        <v>#REF!</v>
      </c>
      <c r="L39" s="39" t="e">
        <f>IF(#REF!="","",#REF!)</f>
        <v>#REF!</v>
      </c>
      <c r="M39" s="39" t="e">
        <f>IF(#REF!="","",#REF!)</f>
        <v>#REF!</v>
      </c>
      <c r="N39" s="39" t="e">
        <f>IF(#REF!="","",#REF!)</f>
        <v>#REF!</v>
      </c>
      <c r="O39" s="39" t="e">
        <f>IF(#REF!="","",#REF!)</f>
        <v>#REF!</v>
      </c>
      <c r="P39" s="39" t="e">
        <f>IF(#REF!="","",#REF!)</f>
        <v>#REF!</v>
      </c>
      <c r="Q39" s="39" t="e">
        <f>IF(#REF!="","",#REF!)</f>
        <v>#REF!</v>
      </c>
      <c r="R39" s="41" t="e">
        <f>IF(#REF!="","",#REF!)</f>
        <v>#REF!</v>
      </c>
    </row>
    <row r="40" spans="1:18">
      <c r="A40" s="37">
        <v>37226</v>
      </c>
      <c r="B40" s="39" t="e">
        <f>IF(#REF!="","",#REF!)</f>
        <v>#REF!</v>
      </c>
      <c r="C40" s="39" t="e">
        <f>IF(#REF!="","",#REF!)</f>
        <v>#REF!</v>
      </c>
      <c r="D40" s="39" t="e">
        <f>IF(#REF!="","",#REF!)</f>
        <v>#REF!</v>
      </c>
      <c r="E40" s="39" t="e">
        <f>IF(#REF!="","",#REF!)</f>
        <v>#REF!</v>
      </c>
      <c r="F40" s="39" t="e">
        <f>IF(#REF!="","",#REF!)</f>
        <v>#REF!</v>
      </c>
      <c r="G40" s="39" t="e">
        <f>IF(#REF!="","",#REF!)</f>
        <v>#REF!</v>
      </c>
      <c r="H40" s="39" t="e">
        <f>IF(#REF!="","",#REF!)</f>
        <v>#REF!</v>
      </c>
      <c r="I40" s="39" t="e">
        <f>IF(#REF!="","",#REF!)</f>
        <v>#REF!</v>
      </c>
      <c r="J40" s="39" t="e">
        <f>IF(#REF!="","",#REF!)</f>
        <v>#REF!</v>
      </c>
      <c r="K40" s="39" t="e">
        <f>IF(#REF!="","",#REF!)</f>
        <v>#REF!</v>
      </c>
      <c r="L40" s="39" t="e">
        <f>IF(#REF!="","",#REF!)</f>
        <v>#REF!</v>
      </c>
      <c r="M40" s="39" t="e">
        <f>IF(#REF!="","",#REF!)</f>
        <v>#REF!</v>
      </c>
      <c r="N40" s="39" t="e">
        <f>IF(#REF!="","",#REF!)</f>
        <v>#REF!</v>
      </c>
      <c r="O40" s="39" t="e">
        <f>IF(#REF!="","",#REF!)</f>
        <v>#REF!</v>
      </c>
      <c r="P40" s="39" t="e">
        <f>IF(#REF!="","",#REF!)</f>
        <v>#REF!</v>
      </c>
      <c r="Q40" s="39" t="e">
        <f>IF(#REF!="","",#REF!)</f>
        <v>#REF!</v>
      </c>
      <c r="R40" s="41" t="e">
        <f>IF(#REF!="","",#REF!)</f>
        <v>#REF!</v>
      </c>
    </row>
    <row r="41" spans="1:18">
      <c r="A41" s="37">
        <v>37257</v>
      </c>
      <c r="B41" s="39" t="e">
        <f>IF(#REF!="","",#REF!)</f>
        <v>#REF!</v>
      </c>
      <c r="C41" s="39" t="e">
        <f>IF(#REF!="","",#REF!)</f>
        <v>#REF!</v>
      </c>
      <c r="D41" s="39" t="e">
        <f>IF(#REF!="","",#REF!)</f>
        <v>#REF!</v>
      </c>
      <c r="E41" s="39" t="e">
        <f>IF(#REF!="","",#REF!)</f>
        <v>#REF!</v>
      </c>
      <c r="F41" s="39" t="e">
        <f>IF(#REF!="","",#REF!)</f>
        <v>#REF!</v>
      </c>
      <c r="G41" s="39" t="e">
        <f>IF(#REF!="","",#REF!)</f>
        <v>#REF!</v>
      </c>
      <c r="H41" s="39" t="e">
        <f>IF(#REF!="","",#REF!)</f>
        <v>#REF!</v>
      </c>
      <c r="I41" s="39" t="e">
        <f>IF(#REF!="","",#REF!)</f>
        <v>#REF!</v>
      </c>
      <c r="J41" s="39" t="e">
        <f>IF(#REF!="","",#REF!)</f>
        <v>#REF!</v>
      </c>
      <c r="K41" s="39" t="e">
        <f>IF(#REF!="","",#REF!)</f>
        <v>#REF!</v>
      </c>
      <c r="L41" s="39" t="e">
        <f>IF(#REF!="","",#REF!)</f>
        <v>#REF!</v>
      </c>
      <c r="M41" s="39" t="e">
        <f>IF(#REF!="","",#REF!)</f>
        <v>#REF!</v>
      </c>
      <c r="N41" s="39" t="e">
        <f>IF(#REF!="","",#REF!)</f>
        <v>#REF!</v>
      </c>
      <c r="O41" s="39" t="e">
        <f>IF(#REF!="","",#REF!)</f>
        <v>#REF!</v>
      </c>
      <c r="P41" s="39" t="e">
        <f>IF(#REF!="","",#REF!)</f>
        <v>#REF!</v>
      </c>
      <c r="Q41" s="39" t="e">
        <f>IF(#REF!="","",#REF!)</f>
        <v>#REF!</v>
      </c>
      <c r="R41" s="41" t="e">
        <f>IF(#REF!="","",#REF!)</f>
        <v>#REF!</v>
      </c>
    </row>
    <row r="42" spans="1:18">
      <c r="A42" s="37">
        <v>37288</v>
      </c>
      <c r="B42" s="39" t="e">
        <f>IF(#REF!="","",#REF!)</f>
        <v>#REF!</v>
      </c>
      <c r="C42" s="39" t="e">
        <f>IF(#REF!="","",#REF!)</f>
        <v>#REF!</v>
      </c>
      <c r="D42" s="39" t="e">
        <f>IF(#REF!="","",#REF!)</f>
        <v>#REF!</v>
      </c>
      <c r="E42" s="39" t="e">
        <f>IF(#REF!="","",#REF!)</f>
        <v>#REF!</v>
      </c>
      <c r="F42" s="39" t="e">
        <f>IF(#REF!="","",#REF!)</f>
        <v>#REF!</v>
      </c>
      <c r="G42" s="39" t="e">
        <f>IF(#REF!="","",#REF!)</f>
        <v>#REF!</v>
      </c>
      <c r="H42" s="39" t="e">
        <f>IF(#REF!="","",#REF!)</f>
        <v>#REF!</v>
      </c>
      <c r="I42" s="39" t="e">
        <f>IF(#REF!="","",#REF!)</f>
        <v>#REF!</v>
      </c>
      <c r="J42" s="39" t="e">
        <f>IF(#REF!="","",#REF!)</f>
        <v>#REF!</v>
      </c>
      <c r="K42" s="39" t="e">
        <f>IF(#REF!="","",#REF!)</f>
        <v>#REF!</v>
      </c>
      <c r="L42" s="39" t="e">
        <f>IF(#REF!="","",#REF!)</f>
        <v>#REF!</v>
      </c>
      <c r="M42" s="39" t="e">
        <f>IF(#REF!="","",#REF!)</f>
        <v>#REF!</v>
      </c>
      <c r="N42" s="39" t="e">
        <f>IF(#REF!="","",#REF!)</f>
        <v>#REF!</v>
      </c>
      <c r="O42" s="39" t="e">
        <f>IF(#REF!="","",#REF!)</f>
        <v>#REF!</v>
      </c>
      <c r="P42" s="39" t="e">
        <f>IF(#REF!="","",#REF!)</f>
        <v>#REF!</v>
      </c>
      <c r="Q42" s="39" t="e">
        <f>IF(#REF!="","",#REF!)</f>
        <v>#REF!</v>
      </c>
      <c r="R42" s="41" t="e">
        <f>IF(#REF!="","",#REF!)</f>
        <v>#REF!</v>
      </c>
    </row>
    <row r="43" spans="1:18">
      <c r="A43" s="37">
        <v>37316</v>
      </c>
      <c r="B43" s="39" t="e">
        <f>IF(#REF!="","",#REF!)</f>
        <v>#REF!</v>
      </c>
      <c r="C43" s="39" t="e">
        <f>IF(#REF!="","",#REF!)</f>
        <v>#REF!</v>
      </c>
      <c r="D43" s="39" t="e">
        <f>IF(#REF!="","",#REF!)</f>
        <v>#REF!</v>
      </c>
      <c r="E43" s="39" t="e">
        <f>IF(#REF!="","",#REF!)</f>
        <v>#REF!</v>
      </c>
      <c r="F43" s="39" t="e">
        <f>IF(#REF!="","",#REF!)</f>
        <v>#REF!</v>
      </c>
      <c r="G43" s="39" t="e">
        <f>IF(#REF!="","",#REF!)</f>
        <v>#REF!</v>
      </c>
      <c r="H43" s="39" t="e">
        <f>IF(#REF!="","",#REF!)</f>
        <v>#REF!</v>
      </c>
      <c r="I43" s="39" t="e">
        <f>IF(#REF!="","",#REF!)</f>
        <v>#REF!</v>
      </c>
      <c r="J43" s="39" t="e">
        <f>IF(#REF!="","",#REF!)</f>
        <v>#REF!</v>
      </c>
      <c r="K43" s="39" t="e">
        <f>IF(#REF!="","",#REF!)</f>
        <v>#REF!</v>
      </c>
      <c r="L43" s="39" t="e">
        <f>IF(#REF!="","",#REF!)</f>
        <v>#REF!</v>
      </c>
      <c r="M43" s="39" t="e">
        <f>IF(#REF!="","",#REF!)</f>
        <v>#REF!</v>
      </c>
      <c r="N43" s="39" t="e">
        <f>IF(#REF!="","",#REF!)</f>
        <v>#REF!</v>
      </c>
      <c r="O43" s="39" t="e">
        <f>IF(#REF!="","",#REF!)</f>
        <v>#REF!</v>
      </c>
      <c r="P43" s="39" t="e">
        <f>IF(#REF!="","",#REF!)</f>
        <v>#REF!</v>
      </c>
      <c r="Q43" s="39" t="e">
        <f>IF(#REF!="","",#REF!)</f>
        <v>#REF!</v>
      </c>
      <c r="R43" s="41" t="e">
        <f>IF(#REF!="","",#REF!)</f>
        <v>#REF!</v>
      </c>
    </row>
    <row r="44" spans="1:18">
      <c r="A44" s="37">
        <v>37347</v>
      </c>
      <c r="B44" s="39" t="e">
        <f>IF(#REF!="","",#REF!)</f>
        <v>#REF!</v>
      </c>
      <c r="C44" s="39" t="e">
        <f>IF(#REF!="","",#REF!)</f>
        <v>#REF!</v>
      </c>
      <c r="D44" s="39" t="e">
        <f>IF(#REF!="","",#REF!)</f>
        <v>#REF!</v>
      </c>
      <c r="E44" s="39" t="e">
        <f>IF(#REF!="","",#REF!)</f>
        <v>#REF!</v>
      </c>
      <c r="F44" s="39" t="e">
        <f>IF(#REF!="","",#REF!)</f>
        <v>#REF!</v>
      </c>
      <c r="G44" s="39" t="e">
        <f>IF(#REF!="","",#REF!)</f>
        <v>#REF!</v>
      </c>
      <c r="H44" s="39" t="e">
        <f>IF(#REF!="","",#REF!)</f>
        <v>#REF!</v>
      </c>
      <c r="I44" s="39" t="e">
        <f>IF(#REF!="","",#REF!)</f>
        <v>#REF!</v>
      </c>
      <c r="J44" s="39" t="e">
        <f>IF(#REF!="","",#REF!)</f>
        <v>#REF!</v>
      </c>
      <c r="K44" s="39" t="e">
        <f>IF(#REF!="","",#REF!)</f>
        <v>#REF!</v>
      </c>
      <c r="L44" s="39" t="e">
        <f>IF(#REF!="","",#REF!)</f>
        <v>#REF!</v>
      </c>
      <c r="M44" s="39" t="e">
        <f>IF(#REF!="","",#REF!)</f>
        <v>#REF!</v>
      </c>
      <c r="N44" s="39" t="e">
        <f>IF(#REF!="","",#REF!)</f>
        <v>#REF!</v>
      </c>
      <c r="O44" s="39" t="e">
        <f>IF(#REF!="","",#REF!)</f>
        <v>#REF!</v>
      </c>
      <c r="P44" s="39" t="e">
        <f>IF(#REF!="","",#REF!)</f>
        <v>#REF!</v>
      </c>
      <c r="Q44" s="39" t="e">
        <f>IF(#REF!="","",#REF!)</f>
        <v>#REF!</v>
      </c>
      <c r="R44" s="41" t="e">
        <f>IF(#REF!="","",#REF!)</f>
        <v>#REF!</v>
      </c>
    </row>
    <row r="45" spans="1:18">
      <c r="A45" s="37">
        <v>37377</v>
      </c>
      <c r="B45" s="39" t="e">
        <f>IF(#REF!="","",#REF!)</f>
        <v>#REF!</v>
      </c>
      <c r="C45" s="39" t="e">
        <f>IF(#REF!="","",#REF!)</f>
        <v>#REF!</v>
      </c>
      <c r="D45" s="39" t="e">
        <f>IF(#REF!="","",#REF!)</f>
        <v>#REF!</v>
      </c>
      <c r="E45" s="39" t="e">
        <f>IF(#REF!="","",#REF!)</f>
        <v>#REF!</v>
      </c>
      <c r="F45" s="39" t="e">
        <f>IF(#REF!="","",#REF!)</f>
        <v>#REF!</v>
      </c>
      <c r="G45" s="39" t="e">
        <f>IF(#REF!="","",#REF!)</f>
        <v>#REF!</v>
      </c>
      <c r="H45" s="39" t="e">
        <f>IF(#REF!="","",#REF!)</f>
        <v>#REF!</v>
      </c>
      <c r="I45" s="39" t="e">
        <f>IF(#REF!="","",#REF!)</f>
        <v>#REF!</v>
      </c>
      <c r="J45" s="39" t="e">
        <f>IF(#REF!="","",#REF!)</f>
        <v>#REF!</v>
      </c>
      <c r="K45" s="39" t="e">
        <f>IF(#REF!="","",#REF!)</f>
        <v>#REF!</v>
      </c>
      <c r="L45" s="39" t="e">
        <f>IF(#REF!="","",#REF!)</f>
        <v>#REF!</v>
      </c>
      <c r="M45" s="39" t="e">
        <f>IF(#REF!="","",#REF!)</f>
        <v>#REF!</v>
      </c>
      <c r="N45" s="39" t="e">
        <f>IF(#REF!="","",#REF!)</f>
        <v>#REF!</v>
      </c>
      <c r="O45" s="39" t="e">
        <f>IF(#REF!="","",#REF!)</f>
        <v>#REF!</v>
      </c>
      <c r="P45" s="39" t="e">
        <f>IF(#REF!="","",#REF!)</f>
        <v>#REF!</v>
      </c>
      <c r="Q45" s="39" t="e">
        <f>IF(#REF!="","",#REF!)</f>
        <v>#REF!</v>
      </c>
      <c r="R45" s="41" t="e">
        <f>IF(#REF!="","",#REF!)</f>
        <v>#REF!</v>
      </c>
    </row>
    <row r="46" spans="1:18">
      <c r="A46" s="37">
        <v>37408</v>
      </c>
      <c r="B46" s="39" t="e">
        <f>IF(#REF!="","",#REF!)</f>
        <v>#REF!</v>
      </c>
      <c r="C46" s="39" t="e">
        <f>IF(#REF!="","",#REF!)</f>
        <v>#REF!</v>
      </c>
      <c r="D46" s="39" t="e">
        <f>IF(#REF!="","",#REF!)</f>
        <v>#REF!</v>
      </c>
      <c r="E46" s="39" t="e">
        <f>IF(#REF!="","",#REF!)</f>
        <v>#REF!</v>
      </c>
      <c r="F46" s="39" t="e">
        <f>IF(#REF!="","",#REF!)</f>
        <v>#REF!</v>
      </c>
      <c r="G46" s="39" t="e">
        <f>IF(#REF!="","",#REF!)</f>
        <v>#REF!</v>
      </c>
      <c r="H46" s="39" t="e">
        <f>IF(#REF!="","",#REF!)</f>
        <v>#REF!</v>
      </c>
      <c r="I46" s="39" t="e">
        <f>IF(#REF!="","",#REF!)</f>
        <v>#REF!</v>
      </c>
      <c r="J46" s="39" t="e">
        <f>IF(#REF!="","",#REF!)</f>
        <v>#REF!</v>
      </c>
      <c r="K46" s="39" t="e">
        <f>IF(#REF!="","",#REF!)</f>
        <v>#REF!</v>
      </c>
      <c r="L46" s="39" t="e">
        <f>IF(#REF!="","",#REF!)</f>
        <v>#REF!</v>
      </c>
      <c r="M46" s="39" t="e">
        <f>IF(#REF!="","",#REF!)</f>
        <v>#REF!</v>
      </c>
      <c r="N46" s="39" t="e">
        <f>IF(#REF!="","",#REF!)</f>
        <v>#REF!</v>
      </c>
      <c r="O46" s="39" t="e">
        <f>IF(#REF!="","",#REF!)</f>
        <v>#REF!</v>
      </c>
      <c r="P46" s="39" t="e">
        <f>IF(#REF!="","",#REF!)</f>
        <v>#REF!</v>
      </c>
      <c r="Q46" s="39" t="e">
        <f>IF(#REF!="","",#REF!)</f>
        <v>#REF!</v>
      </c>
      <c r="R46" s="41" t="e">
        <f>IF(#REF!="","",#REF!)</f>
        <v>#REF!</v>
      </c>
    </row>
    <row r="47" spans="1:18">
      <c r="A47" s="37">
        <v>37438</v>
      </c>
      <c r="B47" s="39" t="e">
        <f>IF(#REF!="","",#REF!)</f>
        <v>#REF!</v>
      </c>
      <c r="C47" s="39" t="e">
        <f>IF(#REF!="","",#REF!)</f>
        <v>#REF!</v>
      </c>
      <c r="D47" s="39" t="e">
        <f>IF(#REF!="","",#REF!)</f>
        <v>#REF!</v>
      </c>
      <c r="E47" s="39" t="e">
        <f>IF(#REF!="","",#REF!)</f>
        <v>#REF!</v>
      </c>
      <c r="F47" s="39" t="e">
        <f>IF(#REF!="","",#REF!)</f>
        <v>#REF!</v>
      </c>
      <c r="G47" s="39" t="e">
        <f>IF(#REF!="","",#REF!)</f>
        <v>#REF!</v>
      </c>
      <c r="H47" s="39" t="e">
        <f>IF(#REF!="","",#REF!)</f>
        <v>#REF!</v>
      </c>
      <c r="I47" s="39" t="e">
        <f>IF(#REF!="","",#REF!)</f>
        <v>#REF!</v>
      </c>
      <c r="J47" s="39" t="e">
        <f>IF(#REF!="","",#REF!)</f>
        <v>#REF!</v>
      </c>
      <c r="K47" s="39" t="e">
        <f>IF(#REF!="","",#REF!)</f>
        <v>#REF!</v>
      </c>
      <c r="L47" s="39" t="e">
        <f>IF(#REF!="","",#REF!)</f>
        <v>#REF!</v>
      </c>
      <c r="M47" s="39" t="e">
        <f>IF(#REF!="","",#REF!)</f>
        <v>#REF!</v>
      </c>
      <c r="N47" s="39" t="e">
        <f>IF(#REF!="","",#REF!)</f>
        <v>#REF!</v>
      </c>
      <c r="O47" s="39" t="e">
        <f>IF(#REF!="","",#REF!)</f>
        <v>#REF!</v>
      </c>
      <c r="P47" s="39" t="e">
        <f>IF(#REF!="","",#REF!)</f>
        <v>#REF!</v>
      </c>
      <c r="Q47" s="39" t="e">
        <f>IF(#REF!="","",#REF!)</f>
        <v>#REF!</v>
      </c>
      <c r="R47" s="41" t="e">
        <f>IF(#REF!="","",#REF!)</f>
        <v>#REF!</v>
      </c>
    </row>
    <row r="48" spans="1:18">
      <c r="A48" s="37">
        <v>37469</v>
      </c>
      <c r="B48" s="39" t="e">
        <f>IF(#REF!="","",#REF!)</f>
        <v>#REF!</v>
      </c>
      <c r="C48" s="39" t="e">
        <f>IF(#REF!="","",#REF!)</f>
        <v>#REF!</v>
      </c>
      <c r="D48" s="39" t="e">
        <f>IF(#REF!="","",#REF!)</f>
        <v>#REF!</v>
      </c>
      <c r="E48" s="39" t="e">
        <f>IF(#REF!="","",#REF!)</f>
        <v>#REF!</v>
      </c>
      <c r="F48" s="39" t="e">
        <f>IF(#REF!="","",#REF!)</f>
        <v>#REF!</v>
      </c>
      <c r="G48" s="39" t="e">
        <f>IF(#REF!="","",#REF!)</f>
        <v>#REF!</v>
      </c>
      <c r="H48" s="39" t="e">
        <f>IF(#REF!="","",#REF!)</f>
        <v>#REF!</v>
      </c>
      <c r="I48" s="39" t="e">
        <f>IF(#REF!="","",#REF!)</f>
        <v>#REF!</v>
      </c>
      <c r="J48" s="39" t="e">
        <f>IF(#REF!="","",#REF!)</f>
        <v>#REF!</v>
      </c>
      <c r="K48" s="39" t="e">
        <f>IF(#REF!="","",#REF!)</f>
        <v>#REF!</v>
      </c>
      <c r="L48" s="39" t="e">
        <f>IF(#REF!="","",#REF!)</f>
        <v>#REF!</v>
      </c>
      <c r="M48" s="39" t="e">
        <f>IF(#REF!="","",#REF!)</f>
        <v>#REF!</v>
      </c>
      <c r="N48" s="39" t="e">
        <f>IF(#REF!="","",#REF!)</f>
        <v>#REF!</v>
      </c>
      <c r="O48" s="39" t="e">
        <f>IF(#REF!="","",#REF!)</f>
        <v>#REF!</v>
      </c>
      <c r="P48" s="39" t="e">
        <f>IF(#REF!="","",#REF!)</f>
        <v>#REF!</v>
      </c>
      <c r="Q48" s="39" t="e">
        <f>IF(#REF!="","",#REF!)</f>
        <v>#REF!</v>
      </c>
      <c r="R48" s="41" t="e">
        <f>IF(#REF!="","",#REF!)</f>
        <v>#REF!</v>
      </c>
    </row>
    <row r="49" spans="1:18">
      <c r="A49" s="37">
        <v>37500</v>
      </c>
      <c r="B49" s="39" t="e">
        <f>IF(#REF!="","",#REF!)</f>
        <v>#REF!</v>
      </c>
      <c r="C49" s="39" t="e">
        <f>IF(#REF!="","",#REF!)</f>
        <v>#REF!</v>
      </c>
      <c r="D49" s="39" t="e">
        <f>IF(#REF!="","",#REF!)</f>
        <v>#REF!</v>
      </c>
      <c r="E49" s="39" t="e">
        <f>IF(#REF!="","",#REF!)</f>
        <v>#REF!</v>
      </c>
      <c r="F49" s="39" t="e">
        <f>IF(#REF!="","",#REF!)</f>
        <v>#REF!</v>
      </c>
      <c r="G49" s="39" t="e">
        <f>IF(#REF!="","",#REF!)</f>
        <v>#REF!</v>
      </c>
      <c r="H49" s="39" t="e">
        <f>IF(#REF!="","",#REF!)</f>
        <v>#REF!</v>
      </c>
      <c r="I49" s="39" t="e">
        <f>IF(#REF!="","",#REF!)</f>
        <v>#REF!</v>
      </c>
      <c r="J49" s="39" t="e">
        <f>IF(#REF!="","",#REF!)</f>
        <v>#REF!</v>
      </c>
      <c r="K49" s="39" t="e">
        <f>IF(#REF!="","",#REF!)</f>
        <v>#REF!</v>
      </c>
      <c r="L49" s="39" t="e">
        <f>IF(#REF!="","",#REF!)</f>
        <v>#REF!</v>
      </c>
      <c r="M49" s="39" t="e">
        <f>IF(#REF!="","",#REF!)</f>
        <v>#REF!</v>
      </c>
      <c r="N49" s="39" t="e">
        <f>IF(#REF!="","",#REF!)</f>
        <v>#REF!</v>
      </c>
      <c r="O49" s="39" t="e">
        <f>IF(#REF!="","",#REF!)</f>
        <v>#REF!</v>
      </c>
      <c r="P49" s="39" t="e">
        <f>IF(#REF!="","",#REF!)</f>
        <v>#REF!</v>
      </c>
      <c r="Q49" s="39" t="e">
        <f>IF(#REF!="","",#REF!)</f>
        <v>#REF!</v>
      </c>
      <c r="R49" s="41" t="e">
        <f>IF(#REF!="","",#REF!)</f>
        <v>#REF!</v>
      </c>
    </row>
    <row r="50" spans="1:18">
      <c r="A50" s="37">
        <v>37530</v>
      </c>
      <c r="B50" s="39" t="e">
        <f>IF(#REF!="","",#REF!)</f>
        <v>#REF!</v>
      </c>
      <c r="C50" s="39" t="e">
        <f>IF(#REF!="","",#REF!)</f>
        <v>#REF!</v>
      </c>
      <c r="D50" s="39" t="e">
        <f>IF(#REF!="","",#REF!)</f>
        <v>#REF!</v>
      </c>
      <c r="E50" s="39" t="e">
        <f>IF(#REF!="","",#REF!)</f>
        <v>#REF!</v>
      </c>
      <c r="F50" s="39" t="e">
        <f>IF(#REF!="","",#REF!)</f>
        <v>#REF!</v>
      </c>
      <c r="G50" s="39" t="e">
        <f>IF(#REF!="","",#REF!)</f>
        <v>#REF!</v>
      </c>
      <c r="H50" s="39" t="e">
        <f>IF(#REF!="","",#REF!)</f>
        <v>#REF!</v>
      </c>
      <c r="I50" s="39" t="e">
        <f>IF(#REF!="","",#REF!)</f>
        <v>#REF!</v>
      </c>
      <c r="J50" s="39" t="e">
        <f>IF(#REF!="","",#REF!)</f>
        <v>#REF!</v>
      </c>
      <c r="K50" s="39" t="e">
        <f>IF(#REF!="","",#REF!)</f>
        <v>#REF!</v>
      </c>
      <c r="L50" s="39" t="e">
        <f>IF(#REF!="","",#REF!)</f>
        <v>#REF!</v>
      </c>
      <c r="M50" s="39" t="e">
        <f>IF(#REF!="","",#REF!)</f>
        <v>#REF!</v>
      </c>
      <c r="N50" s="39" t="e">
        <f>IF(#REF!="","",#REF!)</f>
        <v>#REF!</v>
      </c>
      <c r="O50" s="39" t="e">
        <f>IF(#REF!="","",#REF!)</f>
        <v>#REF!</v>
      </c>
      <c r="P50" s="39" t="e">
        <f>IF(#REF!="","",#REF!)</f>
        <v>#REF!</v>
      </c>
      <c r="Q50" s="39" t="e">
        <f>IF(#REF!="","",#REF!)</f>
        <v>#REF!</v>
      </c>
      <c r="R50" s="41" t="e">
        <f>IF(#REF!="","",#REF!)</f>
        <v>#REF!</v>
      </c>
    </row>
    <row r="51" spans="1:18">
      <c r="A51" s="37">
        <v>37561</v>
      </c>
      <c r="B51" s="39" t="e">
        <f>IF(#REF!="","",#REF!)</f>
        <v>#REF!</v>
      </c>
      <c r="C51" s="39" t="e">
        <f>IF(#REF!="","",#REF!)</f>
        <v>#REF!</v>
      </c>
      <c r="D51" s="39" t="e">
        <f>IF(#REF!="","",#REF!)</f>
        <v>#REF!</v>
      </c>
      <c r="E51" s="39" t="e">
        <f>IF(#REF!="","",#REF!)</f>
        <v>#REF!</v>
      </c>
      <c r="F51" s="39" t="e">
        <f>IF(#REF!="","",#REF!)</f>
        <v>#REF!</v>
      </c>
      <c r="G51" s="39" t="e">
        <f>IF(#REF!="","",#REF!)</f>
        <v>#REF!</v>
      </c>
      <c r="H51" s="39" t="e">
        <f>IF(#REF!="","",#REF!)</f>
        <v>#REF!</v>
      </c>
      <c r="I51" s="39" t="e">
        <f>IF(#REF!="","",#REF!)</f>
        <v>#REF!</v>
      </c>
      <c r="J51" s="39" t="e">
        <f>IF(#REF!="","",#REF!)</f>
        <v>#REF!</v>
      </c>
      <c r="K51" s="39" t="e">
        <f>IF(#REF!="","",#REF!)</f>
        <v>#REF!</v>
      </c>
      <c r="L51" s="39" t="e">
        <f>IF(#REF!="","",#REF!)</f>
        <v>#REF!</v>
      </c>
      <c r="M51" s="39" t="e">
        <f>IF(#REF!="","",#REF!)</f>
        <v>#REF!</v>
      </c>
      <c r="N51" s="39" t="e">
        <f>IF(#REF!="","",#REF!)</f>
        <v>#REF!</v>
      </c>
      <c r="O51" s="39" t="e">
        <f>IF(#REF!="","",#REF!)</f>
        <v>#REF!</v>
      </c>
      <c r="P51" s="39" t="e">
        <f>IF(#REF!="","",#REF!)</f>
        <v>#REF!</v>
      </c>
      <c r="Q51" s="39" t="e">
        <f>IF(#REF!="","",#REF!)</f>
        <v>#REF!</v>
      </c>
      <c r="R51" s="41" t="e">
        <f>IF(#REF!="","",#REF!)</f>
        <v>#REF!</v>
      </c>
    </row>
    <row r="52" spans="1:18">
      <c r="A52" s="37">
        <v>37591</v>
      </c>
      <c r="B52" s="39" t="e">
        <f>IF(#REF!="","",#REF!)</f>
        <v>#REF!</v>
      </c>
      <c r="C52" s="39" t="e">
        <f>IF(#REF!="","",#REF!)</f>
        <v>#REF!</v>
      </c>
      <c r="D52" s="39" t="e">
        <f>IF(#REF!="","",#REF!)</f>
        <v>#REF!</v>
      </c>
      <c r="E52" s="39" t="e">
        <f>IF(#REF!="","",#REF!)</f>
        <v>#REF!</v>
      </c>
      <c r="F52" s="39" t="e">
        <f>IF(#REF!="","",#REF!)</f>
        <v>#REF!</v>
      </c>
      <c r="G52" s="39" t="e">
        <f>IF(#REF!="","",#REF!)</f>
        <v>#REF!</v>
      </c>
      <c r="H52" s="39" t="e">
        <f>IF(#REF!="","",#REF!)</f>
        <v>#REF!</v>
      </c>
      <c r="I52" s="39" t="e">
        <f>IF(#REF!="","",#REF!)</f>
        <v>#REF!</v>
      </c>
      <c r="J52" s="39" t="e">
        <f>IF(#REF!="","",#REF!)</f>
        <v>#REF!</v>
      </c>
      <c r="K52" s="39" t="e">
        <f>IF(#REF!="","",#REF!)</f>
        <v>#REF!</v>
      </c>
      <c r="L52" s="39" t="e">
        <f>IF(#REF!="","",#REF!)</f>
        <v>#REF!</v>
      </c>
      <c r="M52" s="39" t="e">
        <f>IF(#REF!="","",#REF!)</f>
        <v>#REF!</v>
      </c>
      <c r="N52" s="39" t="e">
        <f>IF(#REF!="","",#REF!)</f>
        <v>#REF!</v>
      </c>
      <c r="O52" s="39" t="e">
        <f>IF(#REF!="","",#REF!)</f>
        <v>#REF!</v>
      </c>
      <c r="P52" s="39" t="e">
        <f>IF(#REF!="","",#REF!)</f>
        <v>#REF!</v>
      </c>
      <c r="Q52" s="39" t="e">
        <f>IF(#REF!="","",#REF!)</f>
        <v>#REF!</v>
      </c>
      <c r="R52" s="41" t="e">
        <f>IF(#REF!="","",#REF!)</f>
        <v>#REF!</v>
      </c>
    </row>
    <row r="53" spans="1:18">
      <c r="A53" s="37">
        <v>37622</v>
      </c>
      <c r="B53" s="39" t="e">
        <f>IF(#REF!="","",#REF!)</f>
        <v>#REF!</v>
      </c>
      <c r="C53" s="39" t="e">
        <f>IF(#REF!="","",#REF!)</f>
        <v>#REF!</v>
      </c>
      <c r="D53" s="39" t="e">
        <f>IF(#REF!="","",#REF!)</f>
        <v>#REF!</v>
      </c>
      <c r="E53" s="39" t="e">
        <f>IF(#REF!="","",#REF!)</f>
        <v>#REF!</v>
      </c>
      <c r="F53" s="39" t="e">
        <f>IF(#REF!="","",#REF!)</f>
        <v>#REF!</v>
      </c>
      <c r="G53" s="39" t="e">
        <f>IF(#REF!="","",#REF!)</f>
        <v>#REF!</v>
      </c>
      <c r="H53" s="39" t="e">
        <f>IF(#REF!="","",#REF!)</f>
        <v>#REF!</v>
      </c>
      <c r="I53" s="39" t="e">
        <f>IF(#REF!="","",#REF!)</f>
        <v>#REF!</v>
      </c>
      <c r="J53" s="39" t="e">
        <f>IF(#REF!="","",#REF!)</f>
        <v>#REF!</v>
      </c>
      <c r="K53" s="39" t="e">
        <f>IF(#REF!="","",#REF!)</f>
        <v>#REF!</v>
      </c>
      <c r="L53" s="39" t="e">
        <f>IF(#REF!="","",#REF!)</f>
        <v>#REF!</v>
      </c>
      <c r="M53" s="39" t="e">
        <f>IF(#REF!="","",#REF!)</f>
        <v>#REF!</v>
      </c>
      <c r="N53" s="39" t="e">
        <f>IF(#REF!="","",#REF!)</f>
        <v>#REF!</v>
      </c>
      <c r="O53" s="39" t="e">
        <f>IF(#REF!="","",#REF!)</f>
        <v>#REF!</v>
      </c>
      <c r="P53" s="39" t="e">
        <f>IF(#REF!="","",#REF!)</f>
        <v>#REF!</v>
      </c>
      <c r="Q53" s="39" t="e">
        <f>IF(#REF!="","",#REF!)</f>
        <v>#REF!</v>
      </c>
      <c r="R53" s="41" t="e">
        <f>IF(#REF!="","",#REF!)</f>
        <v>#REF!</v>
      </c>
    </row>
    <row r="54" spans="1:18">
      <c r="A54" s="37">
        <v>37653</v>
      </c>
      <c r="B54" s="39" t="e">
        <f>IF(#REF!="","",#REF!)</f>
        <v>#REF!</v>
      </c>
      <c r="C54" s="39" t="e">
        <f>IF(#REF!="","",#REF!)</f>
        <v>#REF!</v>
      </c>
      <c r="D54" s="39" t="e">
        <f>IF(#REF!="","",#REF!)</f>
        <v>#REF!</v>
      </c>
      <c r="E54" s="39" t="e">
        <f>IF(#REF!="","",#REF!)</f>
        <v>#REF!</v>
      </c>
      <c r="F54" s="39" t="e">
        <f>IF(#REF!="","",#REF!)</f>
        <v>#REF!</v>
      </c>
      <c r="G54" s="39" t="e">
        <f>IF(#REF!="","",#REF!)</f>
        <v>#REF!</v>
      </c>
      <c r="H54" s="39" t="e">
        <f>IF(#REF!="","",#REF!)</f>
        <v>#REF!</v>
      </c>
      <c r="I54" s="39" t="e">
        <f>IF(#REF!="","",#REF!)</f>
        <v>#REF!</v>
      </c>
      <c r="J54" s="39" t="e">
        <f>IF(#REF!="","",#REF!)</f>
        <v>#REF!</v>
      </c>
      <c r="K54" s="39" t="e">
        <f>IF(#REF!="","",#REF!)</f>
        <v>#REF!</v>
      </c>
      <c r="L54" s="39" t="e">
        <f>IF(#REF!="","",#REF!)</f>
        <v>#REF!</v>
      </c>
      <c r="M54" s="39" t="e">
        <f>IF(#REF!="","",#REF!)</f>
        <v>#REF!</v>
      </c>
      <c r="N54" s="39" t="e">
        <f>IF(#REF!="","",#REF!)</f>
        <v>#REF!</v>
      </c>
      <c r="O54" s="39" t="e">
        <f>IF(#REF!="","",#REF!)</f>
        <v>#REF!</v>
      </c>
      <c r="P54" s="39" t="e">
        <f>IF(#REF!="","",#REF!)</f>
        <v>#REF!</v>
      </c>
      <c r="Q54" s="39" t="e">
        <f>IF(#REF!="","",#REF!)</f>
        <v>#REF!</v>
      </c>
      <c r="R54" s="41" t="e">
        <f>IF(#REF!="","",#REF!)</f>
        <v>#REF!</v>
      </c>
    </row>
    <row r="55" spans="1:18">
      <c r="A55" s="37">
        <v>37681</v>
      </c>
      <c r="B55" s="39" t="e">
        <f>IF(#REF!="","",#REF!)</f>
        <v>#REF!</v>
      </c>
      <c r="C55" s="39" t="e">
        <f>IF(#REF!="","",#REF!)</f>
        <v>#REF!</v>
      </c>
      <c r="D55" s="39" t="e">
        <f>IF(#REF!="","",#REF!)</f>
        <v>#REF!</v>
      </c>
      <c r="E55" s="39" t="e">
        <f>IF(#REF!="","",#REF!)</f>
        <v>#REF!</v>
      </c>
      <c r="F55" s="39" t="e">
        <f>IF(#REF!="","",#REF!)</f>
        <v>#REF!</v>
      </c>
      <c r="G55" s="39" t="e">
        <f>IF(#REF!="","",#REF!)</f>
        <v>#REF!</v>
      </c>
      <c r="H55" s="39" t="e">
        <f>IF(#REF!="","",#REF!)</f>
        <v>#REF!</v>
      </c>
      <c r="I55" s="39" t="e">
        <f>IF(#REF!="","",#REF!)</f>
        <v>#REF!</v>
      </c>
      <c r="J55" s="39" t="e">
        <f>IF(#REF!="","",#REF!)</f>
        <v>#REF!</v>
      </c>
      <c r="K55" s="39" t="e">
        <f>IF(#REF!="","",#REF!)</f>
        <v>#REF!</v>
      </c>
      <c r="L55" s="39" t="e">
        <f>IF(#REF!="","",#REF!)</f>
        <v>#REF!</v>
      </c>
      <c r="M55" s="39" t="e">
        <f>IF(#REF!="","",#REF!)</f>
        <v>#REF!</v>
      </c>
      <c r="N55" s="39" t="e">
        <f>IF(#REF!="","",#REF!)</f>
        <v>#REF!</v>
      </c>
      <c r="O55" s="39" t="e">
        <f>IF(#REF!="","",#REF!)</f>
        <v>#REF!</v>
      </c>
      <c r="P55" s="39" t="e">
        <f>IF(#REF!="","",#REF!)</f>
        <v>#REF!</v>
      </c>
      <c r="Q55" s="39" t="e">
        <f>IF(#REF!="","",#REF!)</f>
        <v>#REF!</v>
      </c>
      <c r="R55" s="41" t="e">
        <f>IF(#REF!="","",#REF!)</f>
        <v>#REF!</v>
      </c>
    </row>
    <row r="56" spans="1:18">
      <c r="A56" s="37">
        <v>37712</v>
      </c>
      <c r="B56" s="39" t="e">
        <f>IF(#REF!="","",#REF!)</f>
        <v>#REF!</v>
      </c>
      <c r="C56" s="39" t="e">
        <f>IF(#REF!="","",#REF!)</f>
        <v>#REF!</v>
      </c>
      <c r="D56" s="39" t="e">
        <f>IF(#REF!="","",#REF!)</f>
        <v>#REF!</v>
      </c>
      <c r="E56" s="39" t="e">
        <f>IF(#REF!="","",#REF!)</f>
        <v>#REF!</v>
      </c>
      <c r="F56" s="39" t="e">
        <f>IF(#REF!="","",#REF!)</f>
        <v>#REF!</v>
      </c>
      <c r="G56" s="39" t="e">
        <f>IF(#REF!="","",#REF!)</f>
        <v>#REF!</v>
      </c>
      <c r="H56" s="39" t="e">
        <f>IF(#REF!="","",#REF!)</f>
        <v>#REF!</v>
      </c>
      <c r="I56" s="39" t="e">
        <f>IF(#REF!="","",#REF!)</f>
        <v>#REF!</v>
      </c>
      <c r="J56" s="39" t="e">
        <f>IF(#REF!="","",#REF!)</f>
        <v>#REF!</v>
      </c>
      <c r="K56" s="39" t="e">
        <f>IF(#REF!="","",#REF!)</f>
        <v>#REF!</v>
      </c>
      <c r="L56" s="39" t="e">
        <f>IF(#REF!="","",#REF!)</f>
        <v>#REF!</v>
      </c>
      <c r="M56" s="39" t="e">
        <f>IF(#REF!="","",#REF!)</f>
        <v>#REF!</v>
      </c>
      <c r="N56" s="39" t="e">
        <f>IF(#REF!="","",#REF!)</f>
        <v>#REF!</v>
      </c>
      <c r="O56" s="39" t="e">
        <f>IF(#REF!="","",#REF!)</f>
        <v>#REF!</v>
      </c>
      <c r="P56" s="39" t="e">
        <f>IF(#REF!="","",#REF!)</f>
        <v>#REF!</v>
      </c>
      <c r="Q56" s="39" t="e">
        <f>IF(#REF!="","",#REF!)</f>
        <v>#REF!</v>
      </c>
      <c r="R56" s="41" t="e">
        <f>IF(#REF!="","",#REF!)</f>
        <v>#REF!</v>
      </c>
    </row>
    <row r="57" spans="1:18">
      <c r="A57" s="37">
        <v>37742</v>
      </c>
      <c r="B57" s="39" t="e">
        <f>IF(#REF!="","",#REF!)</f>
        <v>#REF!</v>
      </c>
      <c r="C57" s="39" t="e">
        <f>IF(#REF!="","",#REF!)</f>
        <v>#REF!</v>
      </c>
      <c r="D57" s="39" t="e">
        <f>IF(#REF!="","",#REF!)</f>
        <v>#REF!</v>
      </c>
      <c r="E57" s="39" t="e">
        <f>IF(#REF!="","",#REF!)</f>
        <v>#REF!</v>
      </c>
      <c r="F57" s="39" t="e">
        <f>IF(#REF!="","",#REF!)</f>
        <v>#REF!</v>
      </c>
      <c r="G57" s="39" t="e">
        <f>IF(#REF!="","",#REF!)</f>
        <v>#REF!</v>
      </c>
      <c r="H57" s="39" t="e">
        <f>IF(#REF!="","",#REF!)</f>
        <v>#REF!</v>
      </c>
      <c r="I57" s="39" t="e">
        <f>IF(#REF!="","",#REF!)</f>
        <v>#REF!</v>
      </c>
      <c r="J57" s="39" t="e">
        <f>IF(#REF!="","",#REF!)</f>
        <v>#REF!</v>
      </c>
      <c r="K57" s="39" t="e">
        <f>IF(#REF!="","",#REF!)</f>
        <v>#REF!</v>
      </c>
      <c r="L57" s="39" t="e">
        <f>IF(#REF!="","",#REF!)</f>
        <v>#REF!</v>
      </c>
      <c r="M57" s="39" t="e">
        <f>IF(#REF!="","",#REF!)</f>
        <v>#REF!</v>
      </c>
      <c r="N57" s="39" t="e">
        <f>IF(#REF!="","",#REF!)</f>
        <v>#REF!</v>
      </c>
      <c r="O57" s="39" t="e">
        <f>IF(#REF!="","",#REF!)</f>
        <v>#REF!</v>
      </c>
      <c r="P57" s="39" t="e">
        <f>IF(#REF!="","",#REF!)</f>
        <v>#REF!</v>
      </c>
      <c r="Q57" s="39" t="e">
        <f>IF(#REF!="","",#REF!)</f>
        <v>#REF!</v>
      </c>
      <c r="R57" s="41" t="e">
        <f>IF(#REF!="","",#REF!)</f>
        <v>#REF!</v>
      </c>
    </row>
    <row r="58" spans="1:18">
      <c r="A58" s="37">
        <v>37773</v>
      </c>
      <c r="B58" s="39" t="e">
        <f>IF(#REF!="","",#REF!)</f>
        <v>#REF!</v>
      </c>
      <c r="C58" s="39" t="e">
        <f>IF(#REF!="","",#REF!)</f>
        <v>#REF!</v>
      </c>
      <c r="D58" s="39" t="e">
        <f>IF(#REF!="","",#REF!)</f>
        <v>#REF!</v>
      </c>
      <c r="E58" s="39" t="e">
        <f>IF(#REF!="","",#REF!)</f>
        <v>#REF!</v>
      </c>
      <c r="F58" s="39" t="e">
        <f>IF(#REF!="","",#REF!)</f>
        <v>#REF!</v>
      </c>
      <c r="G58" s="39" t="e">
        <f>IF(#REF!="","",#REF!)</f>
        <v>#REF!</v>
      </c>
      <c r="H58" s="39" t="e">
        <f>IF(#REF!="","",#REF!)</f>
        <v>#REF!</v>
      </c>
      <c r="I58" s="39" t="e">
        <f>IF(#REF!="","",#REF!)</f>
        <v>#REF!</v>
      </c>
      <c r="J58" s="39" t="e">
        <f>IF(#REF!="","",#REF!)</f>
        <v>#REF!</v>
      </c>
      <c r="K58" s="39" t="e">
        <f>IF(#REF!="","",#REF!)</f>
        <v>#REF!</v>
      </c>
      <c r="L58" s="39" t="e">
        <f>IF(#REF!="","",#REF!)</f>
        <v>#REF!</v>
      </c>
      <c r="M58" s="39" t="e">
        <f>IF(#REF!="","",#REF!)</f>
        <v>#REF!</v>
      </c>
      <c r="N58" s="39" t="e">
        <f>IF(#REF!="","",#REF!)</f>
        <v>#REF!</v>
      </c>
      <c r="O58" s="39" t="e">
        <f>IF(#REF!="","",#REF!)</f>
        <v>#REF!</v>
      </c>
      <c r="P58" s="39" t="e">
        <f>IF(#REF!="","",#REF!)</f>
        <v>#REF!</v>
      </c>
      <c r="Q58" s="39" t="e">
        <f>IF(#REF!="","",#REF!)</f>
        <v>#REF!</v>
      </c>
      <c r="R58" s="41" t="e">
        <f>IF(#REF!="","",#REF!)</f>
        <v>#REF!</v>
      </c>
    </row>
    <row r="59" spans="1:18">
      <c r="A59" s="37">
        <v>37803</v>
      </c>
      <c r="B59" s="39" t="e">
        <f>IF(#REF!="","",#REF!)</f>
        <v>#REF!</v>
      </c>
      <c r="C59" s="39" t="e">
        <f>IF(#REF!="","",#REF!)</f>
        <v>#REF!</v>
      </c>
      <c r="D59" s="39" t="e">
        <f>IF(#REF!="","",#REF!)</f>
        <v>#REF!</v>
      </c>
      <c r="E59" s="39" t="e">
        <f>IF(#REF!="","",#REF!)</f>
        <v>#REF!</v>
      </c>
      <c r="F59" s="39" t="e">
        <f>IF(#REF!="","",#REF!)</f>
        <v>#REF!</v>
      </c>
      <c r="G59" s="39" t="e">
        <f>IF(#REF!="","",#REF!)</f>
        <v>#REF!</v>
      </c>
      <c r="H59" s="39" t="e">
        <f>IF(#REF!="","",#REF!)</f>
        <v>#REF!</v>
      </c>
      <c r="I59" s="39" t="e">
        <f>IF(#REF!="","",#REF!)</f>
        <v>#REF!</v>
      </c>
      <c r="J59" s="39" t="e">
        <f>IF(#REF!="","",#REF!)</f>
        <v>#REF!</v>
      </c>
      <c r="K59" s="39" t="e">
        <f>IF(#REF!="","",#REF!)</f>
        <v>#REF!</v>
      </c>
      <c r="L59" s="39" t="e">
        <f>IF(#REF!="","",#REF!)</f>
        <v>#REF!</v>
      </c>
      <c r="M59" s="39" t="e">
        <f>IF(#REF!="","",#REF!)</f>
        <v>#REF!</v>
      </c>
      <c r="N59" s="39" t="e">
        <f>IF(#REF!="","",#REF!)</f>
        <v>#REF!</v>
      </c>
      <c r="O59" s="39" t="e">
        <f>IF(#REF!="","",#REF!)</f>
        <v>#REF!</v>
      </c>
      <c r="P59" s="39" t="e">
        <f>IF(#REF!="","",#REF!)</f>
        <v>#REF!</v>
      </c>
      <c r="Q59" s="39" t="e">
        <f>IF(#REF!="","",#REF!)</f>
        <v>#REF!</v>
      </c>
      <c r="R59" s="41" t="e">
        <f>IF(#REF!="","",#REF!)</f>
        <v>#REF!</v>
      </c>
    </row>
    <row r="60" spans="1:18">
      <c r="A60" s="37">
        <v>37834</v>
      </c>
      <c r="B60" s="39" t="e">
        <f>IF(#REF!="","",#REF!)</f>
        <v>#REF!</v>
      </c>
      <c r="C60" s="39" t="e">
        <f>IF(#REF!="","",#REF!)</f>
        <v>#REF!</v>
      </c>
      <c r="D60" s="39" t="e">
        <f>IF(#REF!="","",#REF!)</f>
        <v>#REF!</v>
      </c>
      <c r="E60" s="39" t="e">
        <f>IF(#REF!="","",#REF!)</f>
        <v>#REF!</v>
      </c>
      <c r="F60" s="39" t="e">
        <f>IF(#REF!="","",#REF!)</f>
        <v>#REF!</v>
      </c>
      <c r="G60" s="39" t="e">
        <f>IF(#REF!="","",#REF!)</f>
        <v>#REF!</v>
      </c>
      <c r="H60" s="39" t="e">
        <f>IF(#REF!="","",#REF!)</f>
        <v>#REF!</v>
      </c>
      <c r="I60" s="39" t="e">
        <f>IF(#REF!="","",#REF!)</f>
        <v>#REF!</v>
      </c>
      <c r="J60" s="39" t="e">
        <f>IF(#REF!="","",#REF!)</f>
        <v>#REF!</v>
      </c>
      <c r="K60" s="39" t="e">
        <f>IF(#REF!="","",#REF!)</f>
        <v>#REF!</v>
      </c>
      <c r="L60" s="39" t="e">
        <f>IF(#REF!="","",#REF!)</f>
        <v>#REF!</v>
      </c>
      <c r="M60" s="39" t="e">
        <f>IF(#REF!="","",#REF!)</f>
        <v>#REF!</v>
      </c>
      <c r="N60" s="39" t="e">
        <f>IF(#REF!="","",#REF!)</f>
        <v>#REF!</v>
      </c>
      <c r="O60" s="39" t="e">
        <f>IF(#REF!="","",#REF!)</f>
        <v>#REF!</v>
      </c>
      <c r="P60" s="39" t="e">
        <f>IF(#REF!="","",#REF!)</f>
        <v>#REF!</v>
      </c>
      <c r="Q60" s="39" t="e">
        <f>IF(#REF!="","",#REF!)</f>
        <v>#REF!</v>
      </c>
      <c r="R60" s="41" t="e">
        <f>IF(#REF!="","",#REF!)</f>
        <v>#REF!</v>
      </c>
    </row>
    <row r="61" spans="1:18">
      <c r="A61" s="37">
        <v>37865</v>
      </c>
      <c r="B61" s="39" t="e">
        <f>IF(#REF!="","",#REF!)</f>
        <v>#REF!</v>
      </c>
      <c r="C61" s="39" t="e">
        <f>IF(#REF!="","",#REF!)</f>
        <v>#REF!</v>
      </c>
      <c r="D61" s="39" t="e">
        <f>IF(#REF!="","",#REF!)</f>
        <v>#REF!</v>
      </c>
      <c r="E61" s="39" t="e">
        <f>IF(#REF!="","",#REF!)</f>
        <v>#REF!</v>
      </c>
      <c r="F61" s="39" t="e">
        <f>IF(#REF!="","",#REF!)</f>
        <v>#REF!</v>
      </c>
      <c r="G61" s="39" t="e">
        <f>IF(#REF!="","",#REF!)</f>
        <v>#REF!</v>
      </c>
      <c r="H61" s="39" t="e">
        <f>IF(#REF!="","",#REF!)</f>
        <v>#REF!</v>
      </c>
      <c r="I61" s="39" t="e">
        <f>IF(#REF!="","",#REF!)</f>
        <v>#REF!</v>
      </c>
      <c r="J61" s="39" t="e">
        <f>IF(#REF!="","",#REF!)</f>
        <v>#REF!</v>
      </c>
      <c r="K61" s="39" t="e">
        <f>IF(#REF!="","",#REF!)</f>
        <v>#REF!</v>
      </c>
      <c r="L61" s="39" t="e">
        <f>IF(#REF!="","",#REF!)</f>
        <v>#REF!</v>
      </c>
      <c r="M61" s="39" t="e">
        <f>IF(#REF!="","",#REF!)</f>
        <v>#REF!</v>
      </c>
      <c r="N61" s="39" t="e">
        <f>IF(#REF!="","",#REF!)</f>
        <v>#REF!</v>
      </c>
      <c r="O61" s="39" t="e">
        <f>IF(#REF!="","",#REF!)</f>
        <v>#REF!</v>
      </c>
      <c r="P61" s="39" t="e">
        <f>IF(#REF!="","",#REF!)</f>
        <v>#REF!</v>
      </c>
      <c r="Q61" s="39" t="e">
        <f>IF(#REF!="","",#REF!)</f>
        <v>#REF!</v>
      </c>
      <c r="R61" s="41" t="e">
        <f>IF(#REF!="","",#REF!)</f>
        <v>#REF!</v>
      </c>
    </row>
    <row r="62" spans="1:18">
      <c r="A62" s="37">
        <v>37895</v>
      </c>
      <c r="B62" s="39" t="e">
        <f>IF(#REF!="","",#REF!)</f>
        <v>#REF!</v>
      </c>
      <c r="C62" s="39" t="e">
        <f>IF(#REF!="","",#REF!)</f>
        <v>#REF!</v>
      </c>
      <c r="D62" s="39" t="e">
        <f>IF(#REF!="","",#REF!)</f>
        <v>#REF!</v>
      </c>
      <c r="E62" s="39" t="e">
        <f>IF(#REF!="","",#REF!)</f>
        <v>#REF!</v>
      </c>
      <c r="F62" s="39" t="e">
        <f>IF(#REF!="","",#REF!)</f>
        <v>#REF!</v>
      </c>
      <c r="G62" s="39" t="e">
        <f>IF(#REF!="","",#REF!)</f>
        <v>#REF!</v>
      </c>
      <c r="H62" s="39" t="e">
        <f>IF(#REF!="","",#REF!)</f>
        <v>#REF!</v>
      </c>
      <c r="I62" s="39" t="e">
        <f>IF(#REF!="","",#REF!)</f>
        <v>#REF!</v>
      </c>
      <c r="J62" s="39" t="e">
        <f>IF(#REF!="","",#REF!)</f>
        <v>#REF!</v>
      </c>
      <c r="K62" s="39" t="e">
        <f>IF(#REF!="","",#REF!)</f>
        <v>#REF!</v>
      </c>
      <c r="L62" s="39" t="e">
        <f>IF(#REF!="","",#REF!)</f>
        <v>#REF!</v>
      </c>
      <c r="M62" s="39" t="e">
        <f>IF(#REF!="","",#REF!)</f>
        <v>#REF!</v>
      </c>
      <c r="N62" s="39" t="e">
        <f>IF(#REF!="","",#REF!)</f>
        <v>#REF!</v>
      </c>
      <c r="O62" s="39" t="e">
        <f>IF(#REF!="","",#REF!)</f>
        <v>#REF!</v>
      </c>
      <c r="P62" s="39" t="e">
        <f>IF(#REF!="","",#REF!)</f>
        <v>#REF!</v>
      </c>
      <c r="Q62" s="39" t="e">
        <f>IF(#REF!="","",#REF!)</f>
        <v>#REF!</v>
      </c>
      <c r="R62" s="41" t="e">
        <f>IF(#REF!="","",#REF!)</f>
        <v>#REF!</v>
      </c>
    </row>
    <row r="63" spans="1:18">
      <c r="A63" s="37">
        <v>37926</v>
      </c>
      <c r="B63" s="39" t="e">
        <f>IF(#REF!="","",#REF!)</f>
        <v>#REF!</v>
      </c>
      <c r="C63" s="39" t="e">
        <f>IF(#REF!="","",#REF!)</f>
        <v>#REF!</v>
      </c>
      <c r="D63" s="39" t="e">
        <f>IF(#REF!="","",#REF!)</f>
        <v>#REF!</v>
      </c>
      <c r="E63" s="39" t="e">
        <f>IF(#REF!="","",#REF!)</f>
        <v>#REF!</v>
      </c>
      <c r="F63" s="39" t="e">
        <f>IF(#REF!="","",#REF!)</f>
        <v>#REF!</v>
      </c>
      <c r="G63" s="39" t="e">
        <f>IF(#REF!="","",#REF!)</f>
        <v>#REF!</v>
      </c>
      <c r="H63" s="39" t="e">
        <f>IF(#REF!="","",#REF!)</f>
        <v>#REF!</v>
      </c>
      <c r="I63" s="39" t="e">
        <f>IF(#REF!="","",#REF!)</f>
        <v>#REF!</v>
      </c>
      <c r="J63" s="39" t="e">
        <f>IF(#REF!="","",#REF!)</f>
        <v>#REF!</v>
      </c>
      <c r="K63" s="39" t="e">
        <f>IF(#REF!="","",#REF!)</f>
        <v>#REF!</v>
      </c>
      <c r="L63" s="39" t="e">
        <f>IF(#REF!="","",#REF!)</f>
        <v>#REF!</v>
      </c>
      <c r="M63" s="39" t="e">
        <f>IF(#REF!="","",#REF!)</f>
        <v>#REF!</v>
      </c>
      <c r="N63" s="39" t="e">
        <f>IF(#REF!="","",#REF!)</f>
        <v>#REF!</v>
      </c>
      <c r="O63" s="39" t="e">
        <f>IF(#REF!="","",#REF!)</f>
        <v>#REF!</v>
      </c>
      <c r="P63" s="39" t="e">
        <f>IF(#REF!="","",#REF!)</f>
        <v>#REF!</v>
      </c>
      <c r="Q63" s="39" t="e">
        <f>IF(#REF!="","",#REF!)</f>
        <v>#REF!</v>
      </c>
      <c r="R63" s="41" t="e">
        <f>IF(#REF!="","",#REF!)</f>
        <v>#REF!</v>
      </c>
    </row>
    <row r="64" spans="1:18">
      <c r="A64" s="37">
        <v>37956</v>
      </c>
      <c r="B64" s="39" t="e">
        <f>IF(#REF!="","",#REF!)</f>
        <v>#REF!</v>
      </c>
      <c r="C64" s="39" t="e">
        <f>IF(#REF!="","",#REF!)</f>
        <v>#REF!</v>
      </c>
      <c r="D64" s="39" t="e">
        <f>IF(#REF!="","",#REF!)</f>
        <v>#REF!</v>
      </c>
      <c r="E64" s="39" t="e">
        <f>IF(#REF!="","",#REF!)</f>
        <v>#REF!</v>
      </c>
      <c r="F64" s="39" t="e">
        <f>IF(#REF!="","",#REF!)</f>
        <v>#REF!</v>
      </c>
      <c r="G64" s="39" t="e">
        <f>IF(#REF!="","",#REF!)</f>
        <v>#REF!</v>
      </c>
      <c r="H64" s="39" t="e">
        <f>IF(#REF!="","",#REF!)</f>
        <v>#REF!</v>
      </c>
      <c r="I64" s="39" t="e">
        <f>IF(#REF!="","",#REF!)</f>
        <v>#REF!</v>
      </c>
      <c r="J64" s="39" t="e">
        <f>IF(#REF!="","",#REF!)</f>
        <v>#REF!</v>
      </c>
      <c r="K64" s="39" t="e">
        <f>IF(#REF!="","",#REF!)</f>
        <v>#REF!</v>
      </c>
      <c r="L64" s="39" t="e">
        <f>IF(#REF!="","",#REF!)</f>
        <v>#REF!</v>
      </c>
      <c r="M64" s="39" t="e">
        <f>IF(#REF!="","",#REF!)</f>
        <v>#REF!</v>
      </c>
      <c r="N64" s="39" t="e">
        <f>IF(#REF!="","",#REF!)</f>
        <v>#REF!</v>
      </c>
      <c r="O64" s="39" t="e">
        <f>IF(#REF!="","",#REF!)</f>
        <v>#REF!</v>
      </c>
      <c r="P64" s="39" t="e">
        <f>IF(#REF!="","",#REF!)</f>
        <v>#REF!</v>
      </c>
      <c r="Q64" s="39" t="e">
        <f>IF(#REF!="","",#REF!)</f>
        <v>#REF!</v>
      </c>
      <c r="R64" s="41" t="e">
        <f>IF(#REF!="","",#REF!)</f>
        <v>#REF!</v>
      </c>
    </row>
    <row r="65" spans="1:18">
      <c r="A65" s="37">
        <v>37987</v>
      </c>
      <c r="B65" s="39" t="e">
        <f>IF(#REF!="","",#REF!)</f>
        <v>#REF!</v>
      </c>
      <c r="C65" s="39" t="e">
        <f>IF(#REF!="","",#REF!)</f>
        <v>#REF!</v>
      </c>
      <c r="D65" s="39" t="e">
        <f>IF(#REF!="","",#REF!)</f>
        <v>#REF!</v>
      </c>
      <c r="E65" s="39" t="e">
        <f>IF(#REF!="","",#REF!)</f>
        <v>#REF!</v>
      </c>
      <c r="F65" s="39" t="e">
        <f>IF(#REF!="","",#REF!)</f>
        <v>#REF!</v>
      </c>
      <c r="G65" s="39" t="e">
        <f>IF(#REF!="","",#REF!)</f>
        <v>#REF!</v>
      </c>
      <c r="H65" s="39" t="e">
        <f>IF(#REF!="","",#REF!)</f>
        <v>#REF!</v>
      </c>
      <c r="I65" s="39" t="e">
        <f>IF(#REF!="","",#REF!)</f>
        <v>#REF!</v>
      </c>
      <c r="J65" s="39" t="e">
        <f>IF(#REF!="","",#REF!)</f>
        <v>#REF!</v>
      </c>
      <c r="K65" s="39" t="e">
        <f>IF(#REF!="","",#REF!)</f>
        <v>#REF!</v>
      </c>
      <c r="L65" s="39" t="e">
        <f>IF(#REF!="","",#REF!)</f>
        <v>#REF!</v>
      </c>
      <c r="M65" s="39" t="e">
        <f>IF(#REF!="","",#REF!)</f>
        <v>#REF!</v>
      </c>
      <c r="N65" s="39" t="e">
        <f>IF(#REF!="","",#REF!)</f>
        <v>#REF!</v>
      </c>
      <c r="O65" s="39" t="e">
        <f>IF(#REF!="","",#REF!)</f>
        <v>#REF!</v>
      </c>
      <c r="P65" s="39" t="e">
        <f>IF(#REF!="","",#REF!)</f>
        <v>#REF!</v>
      </c>
      <c r="Q65" s="39" t="e">
        <f>IF(#REF!="","",#REF!)</f>
        <v>#REF!</v>
      </c>
      <c r="R65" s="41" t="e">
        <f>IF(#REF!="","",#REF!)</f>
        <v>#REF!</v>
      </c>
    </row>
    <row r="66" spans="1:18">
      <c r="A66" s="37">
        <v>38018</v>
      </c>
      <c r="B66" s="39" t="e">
        <f>IF(#REF!="","",#REF!)</f>
        <v>#REF!</v>
      </c>
      <c r="C66" s="39" t="e">
        <f>IF(#REF!="","",#REF!)</f>
        <v>#REF!</v>
      </c>
      <c r="D66" s="39" t="e">
        <f>IF(#REF!="","",#REF!)</f>
        <v>#REF!</v>
      </c>
      <c r="E66" s="39" t="e">
        <f>IF(#REF!="","",#REF!)</f>
        <v>#REF!</v>
      </c>
      <c r="F66" s="39" t="e">
        <f>IF(#REF!="","",#REF!)</f>
        <v>#REF!</v>
      </c>
      <c r="G66" s="39" t="e">
        <f>IF(#REF!="","",#REF!)</f>
        <v>#REF!</v>
      </c>
      <c r="H66" s="39" t="e">
        <f>IF(#REF!="","",#REF!)</f>
        <v>#REF!</v>
      </c>
      <c r="I66" s="39" t="e">
        <f>IF(#REF!="","",#REF!)</f>
        <v>#REF!</v>
      </c>
      <c r="J66" s="39" t="e">
        <f>IF(#REF!="","",#REF!)</f>
        <v>#REF!</v>
      </c>
      <c r="K66" s="39" t="e">
        <f>IF(#REF!="","",#REF!)</f>
        <v>#REF!</v>
      </c>
      <c r="L66" s="39" t="e">
        <f>IF(#REF!="","",#REF!)</f>
        <v>#REF!</v>
      </c>
      <c r="M66" s="39" t="e">
        <f>IF(#REF!="","",#REF!)</f>
        <v>#REF!</v>
      </c>
      <c r="N66" s="39" t="e">
        <f>IF(#REF!="","",#REF!)</f>
        <v>#REF!</v>
      </c>
      <c r="O66" s="39" t="e">
        <f>IF(#REF!="","",#REF!)</f>
        <v>#REF!</v>
      </c>
      <c r="P66" s="39" t="e">
        <f>IF(#REF!="","",#REF!)</f>
        <v>#REF!</v>
      </c>
      <c r="Q66" s="39" t="e">
        <f>IF(#REF!="","",#REF!)</f>
        <v>#REF!</v>
      </c>
      <c r="R66" s="41" t="e">
        <f>IF(#REF!="","",#REF!)</f>
        <v>#REF!</v>
      </c>
    </row>
    <row r="67" spans="1:18">
      <c r="A67" s="38">
        <v>38047</v>
      </c>
      <c r="B67" s="40" t="e">
        <f>IF(#REF!="","",#REF!)</f>
        <v>#REF!</v>
      </c>
      <c r="C67" s="40" t="e">
        <f>IF(#REF!="","",#REF!)</f>
        <v>#REF!</v>
      </c>
      <c r="D67" s="40" t="e">
        <f>IF(#REF!="","",#REF!)</f>
        <v>#REF!</v>
      </c>
      <c r="E67" s="40" t="e">
        <f>IF(#REF!="","",#REF!)</f>
        <v>#REF!</v>
      </c>
      <c r="F67" s="40" t="e">
        <f>IF(#REF!="","",#REF!)</f>
        <v>#REF!</v>
      </c>
      <c r="G67" s="40" t="e">
        <f>IF(#REF!="","",#REF!)</f>
        <v>#REF!</v>
      </c>
      <c r="H67" s="40" t="e">
        <f>IF(#REF!="","",#REF!)</f>
        <v>#REF!</v>
      </c>
      <c r="I67" s="40" t="e">
        <f>IF(#REF!="","",#REF!)</f>
        <v>#REF!</v>
      </c>
      <c r="J67" s="40" t="e">
        <f>IF(#REF!="","",#REF!)</f>
        <v>#REF!</v>
      </c>
      <c r="K67" s="40" t="e">
        <f>IF(#REF!="","",#REF!)</f>
        <v>#REF!</v>
      </c>
      <c r="L67" s="40" t="e">
        <f>IF(#REF!="","",#REF!)</f>
        <v>#REF!</v>
      </c>
      <c r="M67" s="40" t="e">
        <f>IF(#REF!="","",#REF!)</f>
        <v>#REF!</v>
      </c>
      <c r="N67" s="40" t="e">
        <f>IF(#REF!="","",#REF!)</f>
        <v>#REF!</v>
      </c>
      <c r="O67" s="40" t="e">
        <f>IF(#REF!="","",#REF!)</f>
        <v>#REF!</v>
      </c>
      <c r="P67" s="40" t="e">
        <f>IF(#REF!="","",#REF!)</f>
        <v>#REF!</v>
      </c>
      <c r="Q67" s="40" t="e">
        <f>IF(#REF!="","",#REF!)</f>
        <v>#REF!</v>
      </c>
      <c r="R67" s="42" t="e">
        <f>IF(#REF!="","",#REF!)</f>
        <v>#REF!</v>
      </c>
    </row>
    <row r="68" spans="1:18">
      <c r="A68" s="38">
        <v>38078</v>
      </c>
      <c r="B68" s="40" t="e">
        <f>IF(#REF!="","",#REF!)</f>
        <v>#REF!</v>
      </c>
      <c r="C68" s="40" t="e">
        <f>IF(#REF!="","",#REF!)</f>
        <v>#REF!</v>
      </c>
      <c r="D68" s="40" t="e">
        <f>IF(#REF!="","",#REF!)</f>
        <v>#REF!</v>
      </c>
      <c r="E68" s="40" t="e">
        <f>IF(#REF!="","",#REF!)</f>
        <v>#REF!</v>
      </c>
      <c r="F68" s="40" t="e">
        <f>IF(#REF!="","",#REF!)</f>
        <v>#REF!</v>
      </c>
      <c r="G68" s="40" t="e">
        <f>IF(#REF!="","",#REF!)</f>
        <v>#REF!</v>
      </c>
      <c r="H68" s="40" t="e">
        <f>IF(#REF!="","",#REF!)</f>
        <v>#REF!</v>
      </c>
      <c r="I68" s="40" t="e">
        <f>IF(#REF!="","",#REF!)</f>
        <v>#REF!</v>
      </c>
      <c r="J68" s="40" t="e">
        <f>IF(#REF!="","",#REF!)</f>
        <v>#REF!</v>
      </c>
      <c r="K68" s="40" t="e">
        <f>IF(#REF!="","",#REF!)</f>
        <v>#REF!</v>
      </c>
      <c r="L68" s="40" t="e">
        <f>IF(#REF!="","",#REF!)</f>
        <v>#REF!</v>
      </c>
      <c r="M68" s="40" t="e">
        <f>IF(#REF!="","",#REF!)</f>
        <v>#REF!</v>
      </c>
      <c r="N68" s="40" t="e">
        <f>IF(#REF!="","",#REF!)</f>
        <v>#REF!</v>
      </c>
      <c r="O68" s="40" t="e">
        <f>IF(#REF!="","",#REF!)</f>
        <v>#REF!</v>
      </c>
      <c r="P68" s="40" t="e">
        <f>IF(#REF!="","",#REF!)</f>
        <v>#REF!</v>
      </c>
      <c r="Q68" s="40" t="e">
        <f>IF(#REF!="","",#REF!)</f>
        <v>#REF!</v>
      </c>
      <c r="R68" s="42" t="e">
        <f>IF(#REF!="","",#REF!)</f>
        <v>#REF!</v>
      </c>
    </row>
    <row r="69" spans="1:18">
      <c r="A69" s="38">
        <v>38108</v>
      </c>
      <c r="B69" s="40" t="e">
        <f>IF(#REF!="","",#REF!)</f>
        <v>#REF!</v>
      </c>
      <c r="C69" s="40" t="e">
        <f>IF(#REF!="","",#REF!)</f>
        <v>#REF!</v>
      </c>
      <c r="D69" s="40" t="e">
        <f>IF(#REF!="","",#REF!)</f>
        <v>#REF!</v>
      </c>
      <c r="E69" s="40" t="e">
        <f>IF(#REF!="","",#REF!)</f>
        <v>#REF!</v>
      </c>
      <c r="F69" s="40" t="e">
        <f>IF(#REF!="","",#REF!)</f>
        <v>#REF!</v>
      </c>
      <c r="G69" s="40" t="e">
        <f>IF(#REF!="","",#REF!)</f>
        <v>#REF!</v>
      </c>
      <c r="H69" s="40" t="e">
        <f>IF(#REF!="","",#REF!)</f>
        <v>#REF!</v>
      </c>
      <c r="I69" s="40" t="e">
        <f>IF(#REF!="","",#REF!)</f>
        <v>#REF!</v>
      </c>
      <c r="J69" s="40" t="e">
        <f>IF(#REF!="","",#REF!)</f>
        <v>#REF!</v>
      </c>
      <c r="K69" s="40" t="e">
        <f>IF(#REF!="","",#REF!)</f>
        <v>#REF!</v>
      </c>
      <c r="L69" s="40" t="e">
        <f>IF(#REF!="","",#REF!)</f>
        <v>#REF!</v>
      </c>
      <c r="M69" s="40" t="e">
        <f>IF(#REF!="","",#REF!)</f>
        <v>#REF!</v>
      </c>
      <c r="N69" s="40" t="e">
        <f>IF(#REF!="","",#REF!)</f>
        <v>#REF!</v>
      </c>
      <c r="O69" s="40" t="e">
        <f>IF(#REF!="","",#REF!)</f>
        <v>#REF!</v>
      </c>
      <c r="P69" s="40" t="e">
        <f>IF(#REF!="","",#REF!)</f>
        <v>#REF!</v>
      </c>
      <c r="Q69" s="40" t="e">
        <f>IF(#REF!="","",#REF!)</f>
        <v>#REF!</v>
      </c>
      <c r="R69" s="42" t="e">
        <f>IF(#REF!="","",#REF!)</f>
        <v>#REF!</v>
      </c>
    </row>
    <row r="70" spans="1:18">
      <c r="A70" s="38">
        <v>38139</v>
      </c>
      <c r="B70" s="40" t="e">
        <f>IF(#REF!="","",#REF!)</f>
        <v>#REF!</v>
      </c>
      <c r="C70" s="40" t="e">
        <f>IF(#REF!="","",#REF!)</f>
        <v>#REF!</v>
      </c>
      <c r="D70" s="40" t="e">
        <f>IF(#REF!="","",#REF!)</f>
        <v>#REF!</v>
      </c>
      <c r="E70" s="40" t="e">
        <f>IF(#REF!="","",#REF!)</f>
        <v>#REF!</v>
      </c>
      <c r="F70" s="40" t="e">
        <f>IF(#REF!="","",#REF!)</f>
        <v>#REF!</v>
      </c>
      <c r="G70" s="40" t="e">
        <f>IF(#REF!="","",#REF!)</f>
        <v>#REF!</v>
      </c>
      <c r="H70" s="40" t="e">
        <f>IF(#REF!="","",#REF!)</f>
        <v>#REF!</v>
      </c>
      <c r="I70" s="40" t="e">
        <f>IF(#REF!="","",#REF!)</f>
        <v>#REF!</v>
      </c>
      <c r="J70" s="40" t="e">
        <f>IF(#REF!="","",#REF!)</f>
        <v>#REF!</v>
      </c>
      <c r="K70" s="40" t="e">
        <f>IF(#REF!="","",#REF!)</f>
        <v>#REF!</v>
      </c>
      <c r="L70" s="40" t="e">
        <f>IF(#REF!="","",#REF!)</f>
        <v>#REF!</v>
      </c>
      <c r="M70" s="40" t="e">
        <f>IF(#REF!="","",#REF!)</f>
        <v>#REF!</v>
      </c>
      <c r="N70" s="40" t="e">
        <f>IF(#REF!="","",#REF!)</f>
        <v>#REF!</v>
      </c>
      <c r="O70" s="40" t="e">
        <f>IF(#REF!="","",#REF!)</f>
        <v>#REF!</v>
      </c>
      <c r="P70" s="40" t="e">
        <f>IF(#REF!="","",#REF!)</f>
        <v>#REF!</v>
      </c>
      <c r="Q70" s="40" t="e">
        <f>IF(#REF!="","",#REF!)</f>
        <v>#REF!</v>
      </c>
      <c r="R70" s="42" t="e">
        <f>IF(#REF!="","",#REF!)</f>
        <v>#REF!</v>
      </c>
    </row>
    <row r="71" spans="1:18">
      <c r="A71" s="38">
        <v>38169</v>
      </c>
      <c r="B71" s="40" t="e">
        <f>IF(#REF!="","",#REF!)</f>
        <v>#REF!</v>
      </c>
      <c r="C71" s="40" t="e">
        <f>IF(#REF!="","",#REF!)</f>
        <v>#REF!</v>
      </c>
      <c r="D71" s="40" t="e">
        <f>IF(#REF!="","",#REF!)</f>
        <v>#REF!</v>
      </c>
      <c r="E71" s="40" t="e">
        <f>IF(#REF!="","",#REF!)</f>
        <v>#REF!</v>
      </c>
      <c r="F71" s="40" t="e">
        <f>IF(#REF!="","",#REF!)</f>
        <v>#REF!</v>
      </c>
      <c r="G71" s="40" t="e">
        <f>IF(#REF!="","",#REF!)</f>
        <v>#REF!</v>
      </c>
      <c r="H71" s="40" t="e">
        <f>IF(#REF!="","",#REF!)</f>
        <v>#REF!</v>
      </c>
      <c r="I71" s="40" t="e">
        <f>IF(#REF!="","",#REF!)</f>
        <v>#REF!</v>
      </c>
      <c r="J71" s="40" t="e">
        <f>IF(#REF!="","",#REF!)</f>
        <v>#REF!</v>
      </c>
      <c r="K71" s="40" t="e">
        <f>IF(#REF!="","",#REF!)</f>
        <v>#REF!</v>
      </c>
      <c r="L71" s="40" t="e">
        <f>IF(#REF!="","",#REF!)</f>
        <v>#REF!</v>
      </c>
      <c r="M71" s="40" t="e">
        <f>IF(#REF!="","",#REF!)</f>
        <v>#REF!</v>
      </c>
      <c r="N71" s="40" t="e">
        <f>IF(#REF!="","",#REF!)</f>
        <v>#REF!</v>
      </c>
      <c r="O71" s="40" t="e">
        <f>IF(#REF!="","",#REF!)</f>
        <v>#REF!</v>
      </c>
      <c r="P71" s="40" t="e">
        <f>IF(#REF!="","",#REF!)</f>
        <v>#REF!</v>
      </c>
      <c r="Q71" s="40" t="e">
        <f>IF(#REF!="","",#REF!)</f>
        <v>#REF!</v>
      </c>
      <c r="R71" s="42" t="e">
        <f>IF(#REF!="","",#REF!)</f>
        <v>#REF!</v>
      </c>
    </row>
    <row r="72" spans="1:18">
      <c r="A72" s="38">
        <v>38200</v>
      </c>
      <c r="B72" s="40" t="e">
        <f>IF(#REF!="","",#REF!)</f>
        <v>#REF!</v>
      </c>
      <c r="C72" s="40" t="e">
        <f>IF(#REF!="","",#REF!)</f>
        <v>#REF!</v>
      </c>
      <c r="D72" s="40" t="e">
        <f>IF(#REF!="","",#REF!)</f>
        <v>#REF!</v>
      </c>
      <c r="E72" s="40" t="e">
        <f>IF(#REF!="","",#REF!)</f>
        <v>#REF!</v>
      </c>
      <c r="F72" s="40" t="e">
        <f>IF(#REF!="","",#REF!)</f>
        <v>#REF!</v>
      </c>
      <c r="G72" s="40" t="e">
        <f>IF(#REF!="","",#REF!)</f>
        <v>#REF!</v>
      </c>
      <c r="H72" s="40" t="e">
        <f>IF(#REF!="","",#REF!)</f>
        <v>#REF!</v>
      </c>
      <c r="I72" s="40" t="e">
        <f>IF(#REF!="","",#REF!)</f>
        <v>#REF!</v>
      </c>
      <c r="J72" s="40" t="e">
        <f>IF(#REF!="","",#REF!)</f>
        <v>#REF!</v>
      </c>
      <c r="K72" s="40" t="e">
        <f>IF(#REF!="","",#REF!)</f>
        <v>#REF!</v>
      </c>
      <c r="L72" s="40" t="e">
        <f>IF(#REF!="","",#REF!)</f>
        <v>#REF!</v>
      </c>
      <c r="M72" s="40" t="e">
        <f>IF(#REF!="","",#REF!)</f>
        <v>#REF!</v>
      </c>
      <c r="N72" s="40" t="e">
        <f>IF(#REF!="","",#REF!)</f>
        <v>#REF!</v>
      </c>
      <c r="O72" s="40" t="e">
        <f>IF(#REF!="","",#REF!)</f>
        <v>#REF!</v>
      </c>
      <c r="P72" s="40" t="e">
        <f>IF(#REF!="","",#REF!)</f>
        <v>#REF!</v>
      </c>
      <c r="Q72" s="40" t="e">
        <f>IF(#REF!="","",#REF!)</f>
        <v>#REF!</v>
      </c>
      <c r="R72" s="42" t="e">
        <f>IF(#REF!="","",#REF!)</f>
        <v>#REF!</v>
      </c>
    </row>
    <row r="73" spans="1:18">
      <c r="A73" s="38">
        <v>38231</v>
      </c>
      <c r="B73" s="40" t="e">
        <f>IF(#REF!="","",#REF!)</f>
        <v>#REF!</v>
      </c>
      <c r="C73" s="40" t="e">
        <f>IF(#REF!="","",#REF!)</f>
        <v>#REF!</v>
      </c>
      <c r="D73" s="40" t="e">
        <f>IF(#REF!="","",#REF!)</f>
        <v>#REF!</v>
      </c>
      <c r="E73" s="40" t="e">
        <f>IF(#REF!="","",#REF!)</f>
        <v>#REF!</v>
      </c>
      <c r="F73" s="40" t="e">
        <f>IF(#REF!="","",#REF!)</f>
        <v>#REF!</v>
      </c>
      <c r="G73" s="40" t="e">
        <f>IF(#REF!="","",#REF!)</f>
        <v>#REF!</v>
      </c>
      <c r="H73" s="40" t="e">
        <f>IF(#REF!="","",#REF!)</f>
        <v>#REF!</v>
      </c>
      <c r="I73" s="40" t="e">
        <f>IF(#REF!="","",#REF!)</f>
        <v>#REF!</v>
      </c>
      <c r="J73" s="40" t="e">
        <f>IF(#REF!="","",#REF!)</f>
        <v>#REF!</v>
      </c>
      <c r="K73" s="40" t="e">
        <f>IF(#REF!="","",#REF!)</f>
        <v>#REF!</v>
      </c>
      <c r="L73" s="40" t="e">
        <f>IF(#REF!="","",#REF!)</f>
        <v>#REF!</v>
      </c>
      <c r="M73" s="40" t="e">
        <f>IF(#REF!="","",#REF!)</f>
        <v>#REF!</v>
      </c>
      <c r="N73" s="40" t="e">
        <f>IF(#REF!="","",#REF!)</f>
        <v>#REF!</v>
      </c>
      <c r="O73" s="40" t="e">
        <f>IF(#REF!="","",#REF!)</f>
        <v>#REF!</v>
      </c>
      <c r="P73" s="40" t="e">
        <f>IF(#REF!="","",#REF!)</f>
        <v>#REF!</v>
      </c>
      <c r="Q73" s="40" t="e">
        <f>IF(#REF!="","",#REF!)</f>
        <v>#REF!</v>
      </c>
      <c r="R73" s="42" t="e">
        <f>IF(#REF!="","",#REF!)</f>
        <v>#REF!</v>
      </c>
    </row>
    <row r="74" spans="1:18">
      <c r="A74" s="38">
        <v>38261</v>
      </c>
      <c r="B74" s="40" t="e">
        <f>IF(#REF!="","",#REF!)</f>
        <v>#REF!</v>
      </c>
      <c r="C74" s="40" t="e">
        <f>IF(#REF!="","",#REF!)</f>
        <v>#REF!</v>
      </c>
      <c r="D74" s="40" t="e">
        <f>IF(#REF!="","",#REF!)</f>
        <v>#REF!</v>
      </c>
      <c r="E74" s="40" t="e">
        <f>IF(#REF!="","",#REF!)</f>
        <v>#REF!</v>
      </c>
      <c r="F74" s="40" t="e">
        <f>IF(#REF!="","",#REF!)</f>
        <v>#REF!</v>
      </c>
      <c r="G74" s="40" t="e">
        <f>IF(#REF!="","",#REF!)</f>
        <v>#REF!</v>
      </c>
      <c r="H74" s="40" t="e">
        <f>IF(#REF!="","",#REF!)</f>
        <v>#REF!</v>
      </c>
      <c r="I74" s="40" t="e">
        <f>IF(#REF!="","",#REF!)</f>
        <v>#REF!</v>
      </c>
      <c r="J74" s="40" t="e">
        <f>IF(#REF!="","",#REF!)</f>
        <v>#REF!</v>
      </c>
      <c r="K74" s="40" t="e">
        <f>IF(#REF!="","",#REF!)</f>
        <v>#REF!</v>
      </c>
      <c r="L74" s="40" t="e">
        <f>IF(#REF!="","",#REF!)</f>
        <v>#REF!</v>
      </c>
      <c r="M74" s="40" t="e">
        <f>IF(#REF!="","",#REF!)</f>
        <v>#REF!</v>
      </c>
      <c r="N74" s="40" t="e">
        <f>IF(#REF!="","",#REF!)</f>
        <v>#REF!</v>
      </c>
      <c r="O74" s="40" t="e">
        <f>IF(#REF!="","",#REF!)</f>
        <v>#REF!</v>
      </c>
      <c r="P74" s="40" t="e">
        <f>IF(#REF!="","",#REF!)</f>
        <v>#REF!</v>
      </c>
      <c r="Q74" s="40" t="e">
        <f>IF(#REF!="","",#REF!)</f>
        <v>#REF!</v>
      </c>
      <c r="R74" s="42" t="e">
        <f>IF(#REF!="","",#REF!)</f>
        <v>#REF!</v>
      </c>
    </row>
    <row r="75" spans="1:18">
      <c r="A75" s="38">
        <v>38292</v>
      </c>
      <c r="B75" s="40" t="e">
        <f>IF(#REF!="","",#REF!)</f>
        <v>#REF!</v>
      </c>
      <c r="C75" s="40" t="e">
        <f>IF(#REF!="","",#REF!)</f>
        <v>#REF!</v>
      </c>
      <c r="D75" s="40" t="e">
        <f>IF(#REF!="","",#REF!)</f>
        <v>#REF!</v>
      </c>
      <c r="E75" s="40" t="e">
        <f>IF(#REF!="","",#REF!)</f>
        <v>#REF!</v>
      </c>
      <c r="F75" s="40" t="e">
        <f>IF(#REF!="","",#REF!)</f>
        <v>#REF!</v>
      </c>
      <c r="G75" s="40" t="e">
        <f>IF(#REF!="","",#REF!)</f>
        <v>#REF!</v>
      </c>
      <c r="H75" s="40" t="e">
        <f>IF(#REF!="","",#REF!)</f>
        <v>#REF!</v>
      </c>
      <c r="I75" s="40" t="e">
        <f>IF(#REF!="","",#REF!)</f>
        <v>#REF!</v>
      </c>
      <c r="J75" s="40" t="e">
        <f>IF(#REF!="","",#REF!)</f>
        <v>#REF!</v>
      </c>
      <c r="K75" s="40" t="e">
        <f>IF(#REF!="","",#REF!)</f>
        <v>#REF!</v>
      </c>
      <c r="L75" s="40" t="e">
        <f>IF(#REF!="","",#REF!)</f>
        <v>#REF!</v>
      </c>
      <c r="M75" s="40" t="e">
        <f>IF(#REF!="","",#REF!)</f>
        <v>#REF!</v>
      </c>
      <c r="N75" s="40" t="e">
        <f>IF(#REF!="","",#REF!)</f>
        <v>#REF!</v>
      </c>
      <c r="O75" s="40" t="e">
        <f>IF(#REF!="","",#REF!)</f>
        <v>#REF!</v>
      </c>
      <c r="P75" s="40" t="e">
        <f>IF(#REF!="","",#REF!)</f>
        <v>#REF!</v>
      </c>
      <c r="Q75" s="40" t="e">
        <f>IF(#REF!="","",#REF!)</f>
        <v>#REF!</v>
      </c>
      <c r="R75" s="42" t="e">
        <f>IF(#REF!="","",#REF!)</f>
        <v>#REF!</v>
      </c>
    </row>
    <row r="76" spans="1:18">
      <c r="A76" s="38">
        <v>38322</v>
      </c>
      <c r="B76" s="40" t="e">
        <f>IF(#REF!="","",#REF!)</f>
        <v>#REF!</v>
      </c>
      <c r="C76" s="40" t="e">
        <f>IF(#REF!="","",#REF!)</f>
        <v>#REF!</v>
      </c>
      <c r="D76" s="40" t="e">
        <f>IF(#REF!="","",#REF!)</f>
        <v>#REF!</v>
      </c>
      <c r="E76" s="40" t="e">
        <f>IF(#REF!="","",#REF!)</f>
        <v>#REF!</v>
      </c>
      <c r="F76" s="40" t="e">
        <f>IF(#REF!="","",#REF!)</f>
        <v>#REF!</v>
      </c>
      <c r="G76" s="40" t="e">
        <f>IF(#REF!="","",#REF!)</f>
        <v>#REF!</v>
      </c>
      <c r="H76" s="40" t="e">
        <f>IF(#REF!="","",#REF!)</f>
        <v>#REF!</v>
      </c>
      <c r="I76" s="40" t="e">
        <f>IF(#REF!="","",#REF!)</f>
        <v>#REF!</v>
      </c>
      <c r="J76" s="40" t="e">
        <f>IF(#REF!="","",#REF!)</f>
        <v>#REF!</v>
      </c>
      <c r="K76" s="40" t="e">
        <f>IF(#REF!="","",#REF!)</f>
        <v>#REF!</v>
      </c>
      <c r="L76" s="40" t="e">
        <f>IF(#REF!="","",#REF!)</f>
        <v>#REF!</v>
      </c>
      <c r="M76" s="40" t="e">
        <f>IF(#REF!="","",#REF!)</f>
        <v>#REF!</v>
      </c>
      <c r="N76" s="40" t="e">
        <f>IF(#REF!="","",#REF!)</f>
        <v>#REF!</v>
      </c>
      <c r="O76" s="40" t="e">
        <f>IF(#REF!="","",#REF!)</f>
        <v>#REF!</v>
      </c>
      <c r="P76" s="40" t="e">
        <f>IF(#REF!="","",#REF!)</f>
        <v>#REF!</v>
      </c>
      <c r="Q76" s="40" t="e">
        <f>IF(#REF!="","",#REF!)</f>
        <v>#REF!</v>
      </c>
      <c r="R76" s="42" t="e">
        <f>IF(#REF!="","",#REF!)</f>
        <v>#REF!</v>
      </c>
    </row>
    <row r="77" spans="1:18">
      <c r="A77" s="38">
        <v>38353</v>
      </c>
      <c r="B77" s="40" t="e">
        <f>IF(#REF!="","",#REF!)</f>
        <v>#REF!</v>
      </c>
      <c r="C77" s="40" t="e">
        <f>IF(#REF!="","",#REF!)</f>
        <v>#REF!</v>
      </c>
      <c r="D77" s="40" t="e">
        <f>IF(#REF!="","",#REF!)</f>
        <v>#REF!</v>
      </c>
      <c r="E77" s="40" t="e">
        <f>IF(#REF!="","",#REF!)</f>
        <v>#REF!</v>
      </c>
      <c r="F77" s="40" t="e">
        <f>IF(#REF!="","",#REF!)</f>
        <v>#REF!</v>
      </c>
      <c r="G77" s="40" t="e">
        <f>IF(#REF!="","",#REF!)</f>
        <v>#REF!</v>
      </c>
      <c r="H77" s="40" t="e">
        <f>IF(#REF!="","",#REF!)</f>
        <v>#REF!</v>
      </c>
      <c r="I77" s="40" t="e">
        <f>IF(#REF!="","",#REF!)</f>
        <v>#REF!</v>
      </c>
      <c r="J77" s="40" t="e">
        <f>IF(#REF!="","",#REF!)</f>
        <v>#REF!</v>
      </c>
      <c r="K77" s="40" t="e">
        <f>IF(#REF!="","",#REF!)</f>
        <v>#REF!</v>
      </c>
      <c r="L77" s="40" t="e">
        <f>IF(#REF!="","",#REF!)</f>
        <v>#REF!</v>
      </c>
      <c r="M77" s="40" t="e">
        <f>IF(#REF!="","",#REF!)</f>
        <v>#REF!</v>
      </c>
      <c r="N77" s="40" t="e">
        <f>IF(#REF!="","",#REF!)</f>
        <v>#REF!</v>
      </c>
      <c r="O77" s="40" t="e">
        <f>IF(#REF!="","",#REF!)</f>
        <v>#REF!</v>
      </c>
      <c r="P77" s="40" t="e">
        <f>IF(#REF!="","",#REF!)</f>
        <v>#REF!</v>
      </c>
      <c r="Q77" s="40" t="e">
        <f>IF(#REF!="","",#REF!)</f>
        <v>#REF!</v>
      </c>
      <c r="R77" s="42" t="e">
        <f>IF(#REF!="","",#REF!)</f>
        <v>#REF!</v>
      </c>
    </row>
    <row r="78" spans="1:18">
      <c r="A78" s="38">
        <v>38384</v>
      </c>
      <c r="B78" s="40" t="e">
        <f>IF(#REF!="","",#REF!)</f>
        <v>#REF!</v>
      </c>
      <c r="C78" s="40" t="e">
        <f>IF(#REF!="","",#REF!)</f>
        <v>#REF!</v>
      </c>
      <c r="D78" s="40" t="e">
        <f>IF(#REF!="","",#REF!)</f>
        <v>#REF!</v>
      </c>
      <c r="E78" s="40" t="e">
        <f>IF(#REF!="","",#REF!)</f>
        <v>#REF!</v>
      </c>
      <c r="F78" s="40" t="e">
        <f>IF(#REF!="","",#REF!)</f>
        <v>#REF!</v>
      </c>
      <c r="G78" s="40" t="e">
        <f>IF(#REF!="","",#REF!)</f>
        <v>#REF!</v>
      </c>
      <c r="H78" s="40" t="e">
        <f>IF(#REF!="","",#REF!)</f>
        <v>#REF!</v>
      </c>
      <c r="I78" s="40" t="e">
        <f>IF(#REF!="","",#REF!)</f>
        <v>#REF!</v>
      </c>
      <c r="J78" s="40" t="e">
        <f>IF(#REF!="","",#REF!)</f>
        <v>#REF!</v>
      </c>
      <c r="K78" s="40" t="e">
        <f>IF(#REF!="","",#REF!)</f>
        <v>#REF!</v>
      </c>
      <c r="L78" s="40" t="e">
        <f>IF(#REF!="","",#REF!)</f>
        <v>#REF!</v>
      </c>
      <c r="M78" s="40" t="e">
        <f>IF(#REF!="","",#REF!)</f>
        <v>#REF!</v>
      </c>
      <c r="N78" s="40" t="e">
        <f>IF(#REF!="","",#REF!)</f>
        <v>#REF!</v>
      </c>
      <c r="O78" s="40" t="e">
        <f>IF(#REF!="","",#REF!)</f>
        <v>#REF!</v>
      </c>
      <c r="P78" s="40" t="e">
        <f>IF(#REF!="","",#REF!)</f>
        <v>#REF!</v>
      </c>
      <c r="Q78" s="40" t="e">
        <f>IF(#REF!="","",#REF!)</f>
        <v>#REF!</v>
      </c>
      <c r="R78" s="42" t="e">
        <f>IF(#REF!="","",#REF!)</f>
        <v>#REF!</v>
      </c>
    </row>
    <row r="79" spans="1:18">
      <c r="A79" s="38">
        <v>38412</v>
      </c>
      <c r="B79" s="40" t="e">
        <f>IF(#REF!="","",#REF!)</f>
        <v>#REF!</v>
      </c>
      <c r="C79" s="40" t="e">
        <f>IF(#REF!="","",#REF!)</f>
        <v>#REF!</v>
      </c>
      <c r="D79" s="40" t="e">
        <f>IF(#REF!="","",#REF!)</f>
        <v>#REF!</v>
      </c>
      <c r="E79" s="40" t="e">
        <f>IF(#REF!="","",#REF!)</f>
        <v>#REF!</v>
      </c>
      <c r="F79" s="40" t="e">
        <f>IF(#REF!="","",#REF!)</f>
        <v>#REF!</v>
      </c>
      <c r="G79" s="40" t="e">
        <f>IF(#REF!="","",#REF!)</f>
        <v>#REF!</v>
      </c>
      <c r="H79" s="40" t="e">
        <f>IF(#REF!="","",#REF!)</f>
        <v>#REF!</v>
      </c>
      <c r="I79" s="40" t="e">
        <f>IF(#REF!="","",#REF!)</f>
        <v>#REF!</v>
      </c>
      <c r="J79" s="40" t="e">
        <f>IF(#REF!="","",#REF!)</f>
        <v>#REF!</v>
      </c>
      <c r="K79" s="40" t="e">
        <f>IF(#REF!="","",#REF!)</f>
        <v>#REF!</v>
      </c>
      <c r="L79" s="40" t="e">
        <f>IF(#REF!="","",#REF!)</f>
        <v>#REF!</v>
      </c>
      <c r="M79" s="40" t="e">
        <f>IF(#REF!="","",#REF!)</f>
        <v>#REF!</v>
      </c>
      <c r="N79" s="40" t="e">
        <f>IF(#REF!="","",#REF!)</f>
        <v>#REF!</v>
      </c>
      <c r="O79" s="40" t="e">
        <f>IF(#REF!="","",#REF!)</f>
        <v>#REF!</v>
      </c>
      <c r="P79" s="40" t="e">
        <f>IF(#REF!="","",#REF!)</f>
        <v>#REF!</v>
      </c>
      <c r="Q79" s="40" t="e">
        <f>IF(#REF!="","",#REF!)</f>
        <v>#REF!</v>
      </c>
      <c r="R79" s="42" t="e">
        <f>IF(#REF!="","",#REF!)</f>
        <v>#REF!</v>
      </c>
    </row>
    <row r="80" spans="1:18">
      <c r="A80" s="38">
        <v>38443</v>
      </c>
      <c r="B80" s="40" t="e">
        <f>IF(#REF!="","",#REF!)</f>
        <v>#REF!</v>
      </c>
      <c r="C80" s="40" t="e">
        <f>IF(#REF!="","",#REF!)</f>
        <v>#REF!</v>
      </c>
      <c r="D80" s="40" t="e">
        <f>IF(#REF!="","",#REF!)</f>
        <v>#REF!</v>
      </c>
      <c r="E80" s="40" t="e">
        <f>IF(#REF!="","",#REF!)</f>
        <v>#REF!</v>
      </c>
      <c r="F80" s="40" t="e">
        <f>IF(#REF!="","",#REF!)</f>
        <v>#REF!</v>
      </c>
      <c r="G80" s="40" t="e">
        <f>IF(#REF!="","",#REF!)</f>
        <v>#REF!</v>
      </c>
      <c r="H80" s="40" t="e">
        <f>IF(#REF!="","",#REF!)</f>
        <v>#REF!</v>
      </c>
      <c r="I80" s="40" t="e">
        <f>IF(#REF!="","",#REF!)</f>
        <v>#REF!</v>
      </c>
      <c r="J80" s="40" t="e">
        <f>IF(#REF!="","",#REF!)</f>
        <v>#REF!</v>
      </c>
      <c r="K80" s="40" t="e">
        <f>IF(#REF!="","",#REF!)</f>
        <v>#REF!</v>
      </c>
      <c r="L80" s="40" t="e">
        <f>IF(#REF!="","",#REF!)</f>
        <v>#REF!</v>
      </c>
      <c r="M80" s="40" t="e">
        <f>IF(#REF!="","",#REF!)</f>
        <v>#REF!</v>
      </c>
      <c r="N80" s="40" t="e">
        <f>IF(#REF!="","",#REF!)</f>
        <v>#REF!</v>
      </c>
      <c r="O80" s="40" t="e">
        <f>IF(#REF!="","",#REF!)</f>
        <v>#REF!</v>
      </c>
      <c r="P80" s="40" t="e">
        <f>IF(#REF!="","",#REF!)</f>
        <v>#REF!</v>
      </c>
      <c r="Q80" s="40" t="e">
        <f>IF(#REF!="","",#REF!)</f>
        <v>#REF!</v>
      </c>
      <c r="R80" s="42" t="e">
        <f>IF(#REF!="","",#REF!)</f>
        <v>#REF!</v>
      </c>
    </row>
    <row r="81" spans="2:18">
      <c r="B81" s="40" t="e">
        <f>IF(#REF!="","",#REF!)</f>
        <v>#REF!</v>
      </c>
      <c r="C81" s="40" t="e">
        <f>IF(#REF!="","",#REF!)</f>
        <v>#REF!</v>
      </c>
      <c r="D81" s="40" t="e">
        <f>IF(#REF!="","",#REF!)</f>
        <v>#REF!</v>
      </c>
      <c r="E81" s="40" t="e">
        <f>IF(#REF!="","",#REF!)</f>
        <v>#REF!</v>
      </c>
      <c r="F81" s="40" t="e">
        <f>IF(#REF!="","",#REF!)</f>
        <v>#REF!</v>
      </c>
      <c r="G81" s="40" t="e">
        <f>IF(#REF!="","",#REF!)</f>
        <v>#REF!</v>
      </c>
      <c r="H81" s="40" t="e">
        <f>IF(#REF!="","",#REF!)</f>
        <v>#REF!</v>
      </c>
      <c r="I81" s="40" t="e">
        <f>IF(#REF!="","",#REF!)</f>
        <v>#REF!</v>
      </c>
      <c r="J81" s="40" t="e">
        <f>IF(#REF!="","",#REF!)</f>
        <v>#REF!</v>
      </c>
      <c r="K81" s="40" t="e">
        <f>IF(#REF!="","",#REF!)</f>
        <v>#REF!</v>
      </c>
      <c r="L81" s="40" t="e">
        <f>IF(#REF!="","",#REF!)</f>
        <v>#REF!</v>
      </c>
      <c r="M81" s="40" t="e">
        <f>IF(#REF!="","",#REF!)</f>
        <v>#REF!</v>
      </c>
      <c r="N81" s="40" t="e">
        <f>IF(#REF!="","",#REF!)</f>
        <v>#REF!</v>
      </c>
      <c r="O81" s="40" t="e">
        <f>IF(#REF!="","",#REF!)</f>
        <v>#REF!</v>
      </c>
      <c r="P81" s="40" t="e">
        <f>IF(#REF!="","",#REF!)</f>
        <v>#REF!</v>
      </c>
      <c r="Q81" s="40" t="e">
        <f>IF(#REF!="","",#REF!)</f>
        <v>#REF!</v>
      </c>
      <c r="R81" s="42" t="e">
        <f>IF(#REF!="","",#REF!)</f>
        <v>#REF!</v>
      </c>
    </row>
    <row r="82" spans="2:18">
      <c r="B82" s="40" t="e">
        <f>IF(#REF!="","",#REF!)</f>
        <v>#REF!</v>
      </c>
      <c r="C82" s="40" t="e">
        <f>IF(#REF!="","",#REF!)</f>
        <v>#REF!</v>
      </c>
      <c r="D82" s="40" t="e">
        <f>IF(#REF!="","",#REF!)</f>
        <v>#REF!</v>
      </c>
      <c r="E82" s="40" t="e">
        <f>IF(#REF!="","",#REF!)</f>
        <v>#REF!</v>
      </c>
      <c r="F82" s="40" t="e">
        <f>IF(#REF!="","",#REF!)</f>
        <v>#REF!</v>
      </c>
      <c r="G82" s="40" t="e">
        <f>IF(#REF!="","",#REF!)</f>
        <v>#REF!</v>
      </c>
      <c r="H82" s="40" t="e">
        <f>IF(#REF!="","",#REF!)</f>
        <v>#REF!</v>
      </c>
      <c r="I82" s="40" t="e">
        <f>IF(#REF!="","",#REF!)</f>
        <v>#REF!</v>
      </c>
      <c r="J82" s="40" t="e">
        <f>IF(#REF!="","",#REF!)</f>
        <v>#REF!</v>
      </c>
      <c r="K82" s="40" t="e">
        <f>IF(#REF!="","",#REF!)</f>
        <v>#REF!</v>
      </c>
      <c r="L82" s="40" t="e">
        <f>IF(#REF!="","",#REF!)</f>
        <v>#REF!</v>
      </c>
      <c r="M82" s="40" t="e">
        <f>IF(#REF!="","",#REF!)</f>
        <v>#REF!</v>
      </c>
      <c r="N82" s="40" t="e">
        <f>IF(#REF!="","",#REF!)</f>
        <v>#REF!</v>
      </c>
      <c r="O82" s="40" t="e">
        <f>IF(#REF!="","",#REF!)</f>
        <v>#REF!</v>
      </c>
      <c r="P82" s="40" t="e">
        <f>IF(#REF!="","",#REF!)</f>
        <v>#REF!</v>
      </c>
      <c r="Q82" s="40" t="e">
        <f>IF(#REF!="","",#REF!)</f>
        <v>#REF!</v>
      </c>
      <c r="R82" s="42" t="e">
        <f>IF(#REF!="","",#REF!)</f>
        <v>#REF!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F106"/>
  <sheetViews>
    <sheetView showGridLines="0" workbookViewId="0">
      <selection activeCell="D22" sqref="D22"/>
    </sheetView>
  </sheetViews>
  <sheetFormatPr defaultRowHeight="11.25"/>
  <cols>
    <col min="1" max="1" width="3.625" style="3" customWidth="1"/>
    <col min="2" max="4" width="9" style="3"/>
    <col min="5" max="5" width="11.375" style="3" customWidth="1"/>
    <col min="6" max="8" width="9" style="3"/>
    <col min="9" max="9" width="10.5" style="3" customWidth="1"/>
    <col min="10" max="10" width="9" style="3"/>
    <col min="11" max="11" width="9.25" style="3" customWidth="1"/>
    <col min="12" max="19" width="9" style="3"/>
    <col min="20" max="20" width="4.875" style="3" customWidth="1"/>
    <col min="21" max="23" width="5.125" style="3" customWidth="1"/>
    <col min="24" max="25" width="4.875" style="3" customWidth="1"/>
    <col min="26" max="26" width="7.125" style="3" customWidth="1"/>
    <col min="27" max="16384" width="9" style="3"/>
  </cols>
  <sheetData>
    <row r="1" spans="1:3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32">
      <c r="B2" s="10" t="s">
        <v>120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32">
      <c r="B3" s="10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32">
      <c r="B4" s="43" t="s">
        <v>7</v>
      </c>
      <c r="C4" s="44" t="s">
        <v>103</v>
      </c>
      <c r="D4" s="45" t="s">
        <v>104</v>
      </c>
      <c r="E4" s="45" t="s">
        <v>105</v>
      </c>
      <c r="F4" s="44" t="s">
        <v>106</v>
      </c>
      <c r="G4" s="44" t="s">
        <v>107</v>
      </c>
      <c r="H4" s="44" t="s">
        <v>108</v>
      </c>
      <c r="I4" s="44" t="s">
        <v>109</v>
      </c>
      <c r="J4" s="44" t="s">
        <v>110</v>
      </c>
      <c r="K4" s="45" t="s">
        <v>111</v>
      </c>
      <c r="L4" s="44" t="s">
        <v>112</v>
      </c>
      <c r="M4" s="44" t="s">
        <v>113</v>
      </c>
      <c r="N4" s="44" t="s">
        <v>114</v>
      </c>
      <c r="O4" s="44" t="s">
        <v>115</v>
      </c>
      <c r="P4" s="44" t="s">
        <v>116</v>
      </c>
      <c r="Q4" s="44" t="s">
        <v>117</v>
      </c>
      <c r="R4" s="44" t="s">
        <v>118</v>
      </c>
      <c r="S4" s="46" t="s">
        <v>119</v>
      </c>
      <c r="T4" s="2"/>
      <c r="U4" s="2"/>
      <c r="V4" s="2"/>
      <c r="W4" s="2"/>
      <c r="X4" s="2"/>
      <c r="Y4" s="2"/>
      <c r="Z4" s="2"/>
    </row>
    <row r="5" spans="1:32" ht="31.5" customHeight="1">
      <c r="B5" s="54" t="s">
        <v>8</v>
      </c>
      <c r="C5" s="55" t="s">
        <v>31</v>
      </c>
      <c r="D5" s="56" t="s">
        <v>32</v>
      </c>
      <c r="E5" s="56" t="s">
        <v>33</v>
      </c>
      <c r="F5" s="57" t="s">
        <v>34</v>
      </c>
      <c r="G5" s="58" t="s">
        <v>35</v>
      </c>
      <c r="H5" s="58" t="s">
        <v>36</v>
      </c>
      <c r="I5" s="58" t="s">
        <v>37</v>
      </c>
      <c r="J5" s="58" t="s">
        <v>38</v>
      </c>
      <c r="K5" s="59" t="s">
        <v>55</v>
      </c>
      <c r="L5" s="57" t="s">
        <v>9</v>
      </c>
      <c r="M5" s="57" t="s">
        <v>10</v>
      </c>
      <c r="N5" s="58" t="s">
        <v>11</v>
      </c>
      <c r="O5" s="56" t="s">
        <v>12</v>
      </c>
      <c r="P5" s="56" t="s">
        <v>13</v>
      </c>
      <c r="Q5" s="56" t="s">
        <v>14</v>
      </c>
      <c r="R5" s="56" t="s">
        <v>15</v>
      </c>
      <c r="S5" s="60" t="s">
        <v>16</v>
      </c>
      <c r="T5" s="2"/>
      <c r="U5" s="2"/>
      <c r="V5" s="2"/>
      <c r="W5" s="2"/>
      <c r="X5" s="2"/>
      <c r="Y5" s="2"/>
      <c r="Z5" s="2"/>
    </row>
    <row r="6" spans="1:32">
      <c r="B6" s="34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6"/>
      <c r="T6" s="15"/>
      <c r="U6" s="15"/>
      <c r="V6" s="15"/>
      <c r="W6" s="15"/>
      <c r="X6" s="15"/>
      <c r="Y6" s="15"/>
      <c r="Z6" s="15"/>
      <c r="AA6" s="6"/>
      <c r="AB6" s="6"/>
      <c r="AC6" s="6"/>
      <c r="AD6" s="6"/>
      <c r="AE6" s="6"/>
      <c r="AF6" s="6"/>
    </row>
    <row r="7" spans="1:32">
      <c r="A7" s="11">
        <v>1</v>
      </c>
      <c r="B7" s="37">
        <v>37712</v>
      </c>
      <c r="C7" s="39">
        <v>97.9</v>
      </c>
      <c r="D7" s="39">
        <v>109.29945335978711</v>
      </c>
      <c r="E7" s="39">
        <v>99.862550285469396</v>
      </c>
      <c r="F7" s="39">
        <v>97.2</v>
      </c>
      <c r="G7" s="39">
        <v>101.5</v>
      </c>
      <c r="H7" s="39">
        <v>97.1</v>
      </c>
      <c r="I7" s="39">
        <v>97.9</v>
      </c>
      <c r="J7" s="39">
        <v>99.2</v>
      </c>
      <c r="K7" s="39">
        <v>105.27531145004674</v>
      </c>
      <c r="L7" s="39">
        <v>95.9</v>
      </c>
      <c r="M7" s="39">
        <v>98.1</v>
      </c>
      <c r="N7" s="39">
        <v>100.3</v>
      </c>
      <c r="O7" s="39">
        <v>98.409013464055249</v>
      </c>
      <c r="P7" s="39">
        <v>99.325051681663055</v>
      </c>
      <c r="Q7" s="39">
        <v>164.11682892906816</v>
      </c>
      <c r="R7" s="39">
        <v>98.134567407714712</v>
      </c>
      <c r="S7" s="41">
        <v>47.833333333333336</v>
      </c>
      <c r="T7" s="1"/>
      <c r="U7" s="16"/>
      <c r="V7" s="16"/>
      <c r="W7" s="1"/>
      <c r="X7" s="1"/>
      <c r="Y7" s="16"/>
      <c r="Z7" s="17"/>
      <c r="AA7" s="6"/>
      <c r="AB7" s="6"/>
      <c r="AC7" s="6"/>
      <c r="AD7" s="6"/>
      <c r="AE7" s="6"/>
      <c r="AF7" s="6"/>
    </row>
    <row r="8" spans="1:32">
      <c r="A8" s="11">
        <f t="shared" ref="A8:A50" si="0">A7+1</f>
        <v>2</v>
      </c>
      <c r="B8" s="37">
        <v>37742</v>
      </c>
      <c r="C8" s="39">
        <v>97.8</v>
      </c>
      <c r="D8" s="39">
        <v>109.27252836316907</v>
      </c>
      <c r="E8" s="39">
        <v>99.862550285469396</v>
      </c>
      <c r="F8" s="39">
        <v>97.8</v>
      </c>
      <c r="G8" s="39">
        <v>100.8</v>
      </c>
      <c r="H8" s="39">
        <v>97.1</v>
      </c>
      <c r="I8" s="39">
        <v>97.8</v>
      </c>
      <c r="J8" s="39">
        <v>99.2</v>
      </c>
      <c r="K8" s="39">
        <v>105.67422151920655</v>
      </c>
      <c r="L8" s="39">
        <v>95.8</v>
      </c>
      <c r="M8" s="39">
        <v>98.1</v>
      </c>
      <c r="N8" s="39">
        <v>100.2</v>
      </c>
      <c r="O8" s="39">
        <v>98.34305985982752</v>
      </c>
      <c r="P8" s="39">
        <v>99.76962902388594</v>
      </c>
      <c r="Q8" s="39">
        <v>166.30737134909597</v>
      </c>
      <c r="R8" s="39">
        <v>98.219785271646657</v>
      </c>
      <c r="S8" s="41">
        <v>42.096774193548391</v>
      </c>
      <c r="T8" s="1"/>
      <c r="U8" s="16"/>
      <c r="V8" s="16"/>
      <c r="W8" s="1"/>
      <c r="X8" s="1"/>
      <c r="Y8" s="16"/>
      <c r="Z8" s="17"/>
      <c r="AA8" s="6"/>
      <c r="AB8" s="6"/>
      <c r="AC8" s="6"/>
      <c r="AD8" s="6"/>
      <c r="AE8" s="6"/>
      <c r="AF8" s="6"/>
    </row>
    <row r="9" spans="1:32">
      <c r="A9" s="11">
        <f t="shared" si="0"/>
        <v>3</v>
      </c>
      <c r="B9" s="37">
        <v>37773</v>
      </c>
      <c r="C9" s="39">
        <v>97.8</v>
      </c>
      <c r="D9" s="39">
        <v>108.93457197543067</v>
      </c>
      <c r="E9" s="39">
        <v>99.835989880697298</v>
      </c>
      <c r="F9" s="39">
        <v>98.1</v>
      </c>
      <c r="G9" s="39">
        <v>100.1</v>
      </c>
      <c r="H9" s="39">
        <v>97.1</v>
      </c>
      <c r="I9" s="39">
        <v>97.8</v>
      </c>
      <c r="J9" s="39">
        <v>99</v>
      </c>
      <c r="K9" s="39">
        <v>105.87223331909341</v>
      </c>
      <c r="L9" s="39">
        <v>95.7</v>
      </c>
      <c r="M9" s="39">
        <v>98</v>
      </c>
      <c r="N9" s="39">
        <v>100</v>
      </c>
      <c r="O9" s="39">
        <v>98.487234514177445</v>
      </c>
      <c r="P9" s="39">
        <v>100.51954303877982</v>
      </c>
      <c r="Q9" s="39">
        <v>153.88560500695411</v>
      </c>
      <c r="R9" s="39">
        <v>98.399332279459159</v>
      </c>
      <c r="S9" s="41">
        <v>35</v>
      </c>
      <c r="T9" s="16"/>
      <c r="U9" s="16"/>
      <c r="V9" s="16"/>
      <c r="W9" s="1"/>
      <c r="X9" s="1"/>
      <c r="Y9" s="16"/>
      <c r="Z9" s="17"/>
      <c r="AA9" s="6"/>
      <c r="AB9" s="6"/>
      <c r="AC9" s="6"/>
      <c r="AD9" s="6"/>
      <c r="AE9" s="6"/>
      <c r="AF9" s="6"/>
    </row>
    <row r="10" spans="1:32">
      <c r="A10" s="11">
        <f t="shared" si="0"/>
        <v>4</v>
      </c>
      <c r="B10" s="37">
        <v>37803</v>
      </c>
      <c r="C10" s="39">
        <v>97.7</v>
      </c>
      <c r="D10" s="39">
        <v>109.07526059307853</v>
      </c>
      <c r="E10" s="39">
        <v>99.835989880697298</v>
      </c>
      <c r="F10" s="39">
        <v>98.8</v>
      </c>
      <c r="G10" s="39">
        <v>100.4</v>
      </c>
      <c r="H10" s="39">
        <v>97</v>
      </c>
      <c r="I10" s="39">
        <v>97.7</v>
      </c>
      <c r="J10" s="39">
        <v>99</v>
      </c>
      <c r="K10" s="39">
        <v>106.21110482502223</v>
      </c>
      <c r="L10" s="39">
        <v>95.7</v>
      </c>
      <c r="M10" s="39">
        <v>98</v>
      </c>
      <c r="N10" s="39">
        <v>100.2</v>
      </c>
      <c r="O10" s="39">
        <v>98.641593352799504</v>
      </c>
      <c r="P10" s="39">
        <v>97.611691513503899</v>
      </c>
      <c r="Q10" s="39">
        <v>165.97705146036162</v>
      </c>
      <c r="R10" s="39">
        <v>98.677551661714006</v>
      </c>
      <c r="S10" s="41">
        <v>46.29032258064516</v>
      </c>
      <c r="T10" s="16"/>
      <c r="U10" s="1"/>
      <c r="V10" s="1"/>
      <c r="W10" s="1"/>
      <c r="X10" s="1"/>
      <c r="Y10" s="16"/>
      <c r="Z10" s="17"/>
      <c r="AA10" s="6"/>
      <c r="AB10" s="6"/>
      <c r="AC10" s="6"/>
      <c r="AD10" s="6"/>
      <c r="AE10" s="6"/>
      <c r="AF10" s="6"/>
    </row>
    <row r="11" spans="1:32">
      <c r="A11" s="11">
        <f t="shared" si="0"/>
        <v>5</v>
      </c>
      <c r="B11" s="37">
        <v>37834</v>
      </c>
      <c r="C11" s="39">
        <v>97.6</v>
      </c>
      <c r="D11" s="39">
        <v>108.90089770735975</v>
      </c>
      <c r="E11" s="39">
        <v>99.762550285469402</v>
      </c>
      <c r="F11" s="39">
        <v>98.7</v>
      </c>
      <c r="G11" s="39">
        <v>100.2</v>
      </c>
      <c r="H11" s="39">
        <v>97</v>
      </c>
      <c r="I11" s="39">
        <v>97.6</v>
      </c>
      <c r="J11" s="39">
        <v>99</v>
      </c>
      <c r="K11" s="39">
        <v>106.6994954451513</v>
      </c>
      <c r="L11" s="39">
        <v>95.8</v>
      </c>
      <c r="M11" s="39">
        <v>98</v>
      </c>
      <c r="N11" s="39">
        <v>100.2</v>
      </c>
      <c r="O11" s="39">
        <v>98.679970981850374</v>
      </c>
      <c r="P11" s="39">
        <v>96.985089537864937</v>
      </c>
      <c r="Q11" s="39">
        <v>180.18949930458973</v>
      </c>
      <c r="R11" s="39">
        <v>98.684517568970335</v>
      </c>
      <c r="S11" s="41">
        <v>58.064516129032263</v>
      </c>
      <c r="T11" s="16"/>
      <c r="U11" s="16"/>
      <c r="V11" s="16"/>
      <c r="W11" s="1"/>
      <c r="X11" s="1"/>
      <c r="Y11" s="16"/>
      <c r="Z11" s="17"/>
      <c r="AA11" s="6"/>
      <c r="AB11" s="6"/>
      <c r="AC11" s="6"/>
      <c r="AD11" s="6"/>
      <c r="AE11" s="6"/>
      <c r="AF11" s="6"/>
    </row>
    <row r="12" spans="1:32">
      <c r="A12" s="11">
        <f t="shared" si="0"/>
        <v>6</v>
      </c>
      <c r="B12" s="37">
        <v>37865</v>
      </c>
      <c r="C12" s="39">
        <v>97.6</v>
      </c>
      <c r="D12" s="39">
        <v>108.70547884347366</v>
      </c>
      <c r="E12" s="39">
        <v>99.735989880697304</v>
      </c>
      <c r="F12" s="39">
        <v>97.5</v>
      </c>
      <c r="G12" s="39">
        <v>100.3</v>
      </c>
      <c r="H12" s="39">
        <v>96.9</v>
      </c>
      <c r="I12" s="39">
        <v>97.6</v>
      </c>
      <c r="J12" s="39">
        <v>99</v>
      </c>
      <c r="K12" s="39">
        <v>107.21270970200089</v>
      </c>
      <c r="L12" s="39">
        <v>95.8</v>
      </c>
      <c r="M12" s="39">
        <v>97.9</v>
      </c>
      <c r="N12" s="39">
        <v>100.1</v>
      </c>
      <c r="O12" s="39">
        <v>98.693029166350428</v>
      </c>
      <c r="P12" s="39">
        <v>99.341561833383665</v>
      </c>
      <c r="Q12" s="39">
        <v>172.56606397774686</v>
      </c>
      <c r="R12" s="39">
        <v>98.42221154558888</v>
      </c>
      <c r="S12" s="41">
        <v>67</v>
      </c>
      <c r="T12" s="16"/>
      <c r="U12" s="16"/>
      <c r="V12" s="16"/>
      <c r="W12" s="16"/>
      <c r="X12" s="1"/>
      <c r="Y12" s="16"/>
      <c r="Z12" s="17"/>
      <c r="AA12" s="6"/>
      <c r="AB12" s="6"/>
      <c r="AC12" s="6"/>
      <c r="AD12" s="6"/>
      <c r="AE12" s="6"/>
      <c r="AF12" s="6"/>
    </row>
    <row r="13" spans="1:32" ht="13.5">
      <c r="A13" s="11">
        <f t="shared" si="0"/>
        <v>7</v>
      </c>
      <c r="B13" s="37">
        <v>37895</v>
      </c>
      <c r="C13" s="39">
        <v>97.6</v>
      </c>
      <c r="D13" s="39">
        <v>109.47600761309917</v>
      </c>
      <c r="E13" s="39">
        <v>99.662550285469408</v>
      </c>
      <c r="F13" s="39">
        <v>97.5</v>
      </c>
      <c r="G13" s="39">
        <v>99.7</v>
      </c>
      <c r="H13" s="39">
        <v>96.9</v>
      </c>
      <c r="I13" s="39">
        <v>97.6</v>
      </c>
      <c r="J13" s="39">
        <v>99</v>
      </c>
      <c r="K13" s="39">
        <v>107.71841913844662</v>
      </c>
      <c r="L13" s="39">
        <v>96.1</v>
      </c>
      <c r="M13" s="39">
        <v>97.9</v>
      </c>
      <c r="N13" s="39">
        <v>100.1</v>
      </c>
      <c r="O13" s="39">
        <v>98.638253869340943</v>
      </c>
      <c r="P13" s="39">
        <v>99.724017517447962</v>
      </c>
      <c r="Q13" s="39">
        <v>154.02468706536857</v>
      </c>
      <c r="R13" s="39">
        <v>98.379870241000532</v>
      </c>
      <c r="S13" s="41">
        <v>81.451612903225794</v>
      </c>
      <c r="T13" s="18"/>
      <c r="U13" s="18"/>
      <c r="V13" s="18"/>
      <c r="W13" s="18"/>
      <c r="X13" s="18"/>
      <c r="Y13" s="18"/>
      <c r="Z13" s="18"/>
      <c r="AA13" s="6"/>
      <c r="AB13" s="6"/>
      <c r="AC13" s="6"/>
      <c r="AD13" s="6"/>
      <c r="AE13" s="6"/>
      <c r="AF13" s="6"/>
    </row>
    <row r="14" spans="1:32" ht="13.5">
      <c r="A14" s="11">
        <f t="shared" si="0"/>
        <v>8</v>
      </c>
      <c r="B14" s="37">
        <v>37926</v>
      </c>
      <c r="C14" s="39">
        <v>97.5</v>
      </c>
      <c r="D14" s="39">
        <v>108.83144659247691</v>
      </c>
      <c r="E14" s="39">
        <v>99.589110690241512</v>
      </c>
      <c r="F14" s="39">
        <v>97.5</v>
      </c>
      <c r="G14" s="39">
        <v>99.2</v>
      </c>
      <c r="H14" s="39">
        <v>96.8</v>
      </c>
      <c r="I14" s="39">
        <v>97.5</v>
      </c>
      <c r="J14" s="39">
        <v>99</v>
      </c>
      <c r="K14" s="39">
        <v>108.1825634157324</v>
      </c>
      <c r="L14" s="39">
        <v>96</v>
      </c>
      <c r="M14" s="39">
        <v>97.9</v>
      </c>
      <c r="N14" s="39">
        <v>100</v>
      </c>
      <c r="O14" s="39">
        <v>98.74529091298686</v>
      </c>
      <c r="P14" s="39">
        <v>97.953453339690185</v>
      </c>
      <c r="Q14" s="39">
        <v>149.11335187760778</v>
      </c>
      <c r="R14" s="39">
        <v>98.462609875738849</v>
      </c>
      <c r="S14" s="41">
        <v>78.333333333333329</v>
      </c>
      <c r="T14" s="18"/>
      <c r="U14" s="18"/>
      <c r="V14" s="18"/>
      <c r="W14" s="18"/>
      <c r="X14" s="18"/>
      <c r="Y14" s="18"/>
      <c r="Z14" s="18"/>
      <c r="AA14" s="6"/>
      <c r="AB14" s="6"/>
      <c r="AC14" s="6"/>
      <c r="AD14" s="6"/>
      <c r="AE14" s="6"/>
      <c r="AF14" s="6"/>
    </row>
    <row r="15" spans="1:32" ht="13.5">
      <c r="A15" s="11">
        <f t="shared" si="0"/>
        <v>9</v>
      </c>
      <c r="B15" s="37">
        <v>37956</v>
      </c>
      <c r="C15" s="39">
        <v>97.4</v>
      </c>
      <c r="D15" s="39">
        <v>109.04359945408866</v>
      </c>
      <c r="E15" s="39">
        <v>99.589110690241512</v>
      </c>
      <c r="F15" s="39">
        <v>96.8</v>
      </c>
      <c r="G15" s="39">
        <v>99</v>
      </c>
      <c r="H15" s="39">
        <v>96.6</v>
      </c>
      <c r="I15" s="39">
        <v>97.4</v>
      </c>
      <c r="J15" s="39">
        <v>98.8</v>
      </c>
      <c r="K15" s="39">
        <v>108.58320536652386</v>
      </c>
      <c r="L15" s="39">
        <v>95.9</v>
      </c>
      <c r="M15" s="39">
        <v>97.9</v>
      </c>
      <c r="N15" s="39">
        <v>100</v>
      </c>
      <c r="O15" s="39">
        <v>99.000803187049897</v>
      </c>
      <c r="P15" s="39">
        <v>100.33678939662265</v>
      </c>
      <c r="Q15" s="39">
        <v>151.06050069541027</v>
      </c>
      <c r="R15" s="39">
        <v>98.501220863589566</v>
      </c>
      <c r="S15" s="41">
        <v>82.741935483870961</v>
      </c>
      <c r="T15" s="18"/>
      <c r="U15" s="18"/>
      <c r="V15" s="18"/>
      <c r="W15" s="18"/>
      <c r="X15" s="18"/>
      <c r="Y15" s="18"/>
      <c r="Z15" s="18"/>
      <c r="AA15" s="6"/>
      <c r="AB15" s="6"/>
      <c r="AC15" s="6"/>
      <c r="AD15" s="6"/>
      <c r="AE15" s="6"/>
      <c r="AF15" s="6"/>
    </row>
    <row r="16" spans="1:32" ht="13.5">
      <c r="A16" s="11">
        <f t="shared" si="0"/>
        <v>10</v>
      </c>
      <c r="B16" s="37">
        <v>37987</v>
      </c>
      <c r="C16" s="39">
        <v>97.4</v>
      </c>
      <c r="D16" s="39">
        <v>109.50582227567547</v>
      </c>
      <c r="E16" s="39">
        <v>99.662550285469408</v>
      </c>
      <c r="F16" s="39">
        <v>97</v>
      </c>
      <c r="G16" s="39">
        <v>98.5</v>
      </c>
      <c r="H16" s="39">
        <v>96.6</v>
      </c>
      <c r="I16" s="39">
        <v>97.4</v>
      </c>
      <c r="J16" s="39">
        <v>98.9</v>
      </c>
      <c r="K16" s="39">
        <v>108.41983119927031</v>
      </c>
      <c r="L16" s="39">
        <v>95.6</v>
      </c>
      <c r="M16" s="39">
        <v>97.9</v>
      </c>
      <c r="N16" s="39">
        <v>100.5</v>
      </c>
      <c r="O16" s="39">
        <v>98.994834036530222</v>
      </c>
      <c r="P16" s="39">
        <v>100.59652299070231</v>
      </c>
      <c r="Q16" s="39">
        <v>158.65785813630043</v>
      </c>
      <c r="R16" s="39">
        <v>98.542006710237871</v>
      </c>
      <c r="S16" s="41">
        <v>79.032258064516128</v>
      </c>
      <c r="T16" s="18"/>
      <c r="U16" s="18"/>
      <c r="V16" s="18"/>
      <c r="W16" s="18"/>
      <c r="X16" s="18"/>
      <c r="Y16" s="18"/>
      <c r="Z16" s="18"/>
      <c r="AA16" s="6"/>
      <c r="AB16" s="6"/>
      <c r="AC16" s="6"/>
      <c r="AD16" s="6"/>
      <c r="AE16" s="6"/>
      <c r="AF16" s="6"/>
    </row>
    <row r="17" spans="1:32" ht="13.5">
      <c r="A17" s="11">
        <f t="shared" si="0"/>
        <v>11</v>
      </c>
      <c r="B17" s="37">
        <v>38018</v>
      </c>
      <c r="C17" s="39">
        <v>97.4</v>
      </c>
      <c r="D17" s="39">
        <v>109.52656937100691</v>
      </c>
      <c r="E17" s="39">
        <v>99.635989880697281</v>
      </c>
      <c r="F17" s="39">
        <v>97</v>
      </c>
      <c r="G17" s="39">
        <v>98.6</v>
      </c>
      <c r="H17" s="39">
        <v>96.6</v>
      </c>
      <c r="I17" s="39">
        <v>97.4</v>
      </c>
      <c r="J17" s="39">
        <v>98.8</v>
      </c>
      <c r="K17" s="39">
        <v>108.97056955813926</v>
      </c>
      <c r="L17" s="39">
        <v>95.5</v>
      </c>
      <c r="M17" s="39">
        <v>97.8</v>
      </c>
      <c r="N17" s="39">
        <v>100.5</v>
      </c>
      <c r="O17" s="39">
        <v>99.090741166180209</v>
      </c>
      <c r="P17" s="39">
        <v>100.86274181283153</v>
      </c>
      <c r="Q17" s="39">
        <v>163.82127955493741</v>
      </c>
      <c r="R17" s="39">
        <v>98.61614292145731</v>
      </c>
      <c r="S17" s="41">
        <v>73.103448275862064</v>
      </c>
      <c r="T17" s="18"/>
      <c r="U17" s="18"/>
      <c r="V17" s="18"/>
      <c r="W17" s="18"/>
      <c r="X17" s="18"/>
      <c r="Y17" s="18"/>
      <c r="Z17" s="18"/>
      <c r="AA17" s="6"/>
      <c r="AB17" s="6"/>
      <c r="AC17" s="6"/>
      <c r="AD17" s="6"/>
      <c r="AE17" s="6"/>
      <c r="AF17" s="6"/>
    </row>
    <row r="18" spans="1:32" ht="13.5">
      <c r="A18" s="11">
        <f t="shared" si="0"/>
        <v>12</v>
      </c>
      <c r="B18" s="38">
        <v>38047</v>
      </c>
      <c r="C18" s="40">
        <v>97.3</v>
      </c>
      <c r="D18" s="40">
        <v>109.88985309807154</v>
      </c>
      <c r="E18" s="40">
        <v>99.662550285469408</v>
      </c>
      <c r="F18" s="40">
        <v>97</v>
      </c>
      <c r="G18" s="40">
        <v>98.7</v>
      </c>
      <c r="H18" s="40">
        <v>96.7</v>
      </c>
      <c r="I18" s="40">
        <v>97.3</v>
      </c>
      <c r="J18" s="40">
        <v>98.8</v>
      </c>
      <c r="K18" s="40">
        <v>108.9942386071053</v>
      </c>
      <c r="L18" s="40">
        <v>95.6</v>
      </c>
      <c r="M18" s="40">
        <v>97.9</v>
      </c>
      <c r="N18" s="40">
        <v>100.6</v>
      </c>
      <c r="O18" s="40">
        <v>99.038856843571693</v>
      </c>
      <c r="P18" s="40">
        <v>102.06109733766851</v>
      </c>
      <c r="Q18" s="40">
        <v>168.34144645340751</v>
      </c>
      <c r="R18" s="40">
        <v>98.576036340080918</v>
      </c>
      <c r="S18" s="42">
        <v>74.516129032258064</v>
      </c>
      <c r="T18" s="18"/>
      <c r="U18" s="18"/>
      <c r="V18" s="18"/>
      <c r="W18" s="18"/>
      <c r="X18" s="18"/>
      <c r="Y18" s="18"/>
      <c r="Z18" s="18"/>
      <c r="AA18" s="6"/>
      <c r="AB18" s="6"/>
      <c r="AC18" s="6"/>
      <c r="AD18" s="6"/>
      <c r="AE18" s="6"/>
      <c r="AF18" s="6"/>
    </row>
    <row r="19" spans="1:32" ht="13.5">
      <c r="A19" s="11">
        <f t="shared" si="0"/>
        <v>13</v>
      </c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 s="18"/>
      <c r="U19" s="18"/>
      <c r="V19" s="18"/>
      <c r="W19" s="18"/>
      <c r="X19" s="18"/>
      <c r="Y19" s="18"/>
      <c r="Z19" s="18"/>
      <c r="AA19" s="6"/>
      <c r="AB19" s="6"/>
      <c r="AC19" s="6"/>
      <c r="AD19" s="6"/>
      <c r="AE19" s="6"/>
      <c r="AF19" s="6"/>
    </row>
    <row r="20" spans="1:32" ht="13.5">
      <c r="A20" s="11">
        <f t="shared" si="0"/>
        <v>14</v>
      </c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 s="18"/>
      <c r="U20" s="18"/>
      <c r="V20" s="18"/>
      <c r="W20" s="18"/>
      <c r="X20" s="18"/>
      <c r="Y20" s="18"/>
      <c r="Z20" s="18"/>
      <c r="AA20" s="6"/>
      <c r="AB20" s="6"/>
      <c r="AC20" s="6"/>
      <c r="AD20" s="6"/>
      <c r="AE20" s="6"/>
    </row>
    <row r="21" spans="1:32" ht="13.5">
      <c r="A21" s="11">
        <f t="shared" si="0"/>
        <v>15</v>
      </c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 s="18"/>
      <c r="U21"/>
      <c r="V21"/>
      <c r="W21"/>
      <c r="X21"/>
      <c r="Y21"/>
      <c r="Z21"/>
    </row>
    <row r="22" spans="1:32" ht="13.5">
      <c r="A22" s="11">
        <f t="shared" si="0"/>
        <v>16</v>
      </c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 s="18"/>
      <c r="U22"/>
      <c r="V22"/>
      <c r="W22"/>
      <c r="X22"/>
      <c r="Y22"/>
      <c r="Z22"/>
    </row>
    <row r="23" spans="1:32" ht="13.5">
      <c r="A23" s="11">
        <f t="shared" si="0"/>
        <v>17</v>
      </c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32" ht="13.5">
      <c r="A24" s="11">
        <f t="shared" si="0"/>
        <v>18</v>
      </c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32" ht="13.5">
      <c r="A25" s="11">
        <f t="shared" si="0"/>
        <v>19</v>
      </c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32" ht="13.5">
      <c r="A26" s="11">
        <f t="shared" si="0"/>
        <v>20</v>
      </c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32" ht="13.5">
      <c r="A27" s="11">
        <f t="shared" si="0"/>
        <v>21</v>
      </c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32" ht="13.5">
      <c r="A28" s="11">
        <f t="shared" si="0"/>
        <v>22</v>
      </c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32" ht="13.5">
      <c r="A29" s="11">
        <f t="shared" si="0"/>
        <v>23</v>
      </c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32" ht="13.5">
      <c r="A30" s="11">
        <f t="shared" si="0"/>
        <v>24</v>
      </c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 s="4"/>
      <c r="U30" s="4"/>
      <c r="V30" s="4"/>
      <c r="W30" s="4"/>
      <c r="X30" s="4"/>
      <c r="Y30" s="4"/>
      <c r="Z30" s="4"/>
    </row>
    <row r="31" spans="1:32" ht="13.5">
      <c r="A31" s="11">
        <f t="shared" si="0"/>
        <v>25</v>
      </c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 s="4"/>
      <c r="U31" s="4"/>
      <c r="V31" s="4"/>
      <c r="W31" s="4"/>
      <c r="X31" s="4"/>
      <c r="Y31" s="4"/>
      <c r="Z31" s="4"/>
    </row>
    <row r="32" spans="1:32" ht="13.5">
      <c r="A32" s="11">
        <f t="shared" si="0"/>
        <v>26</v>
      </c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 s="8"/>
      <c r="U32" s="8"/>
      <c r="V32" s="8"/>
      <c r="W32" s="8"/>
      <c r="X32" s="8"/>
      <c r="Y32" s="8"/>
      <c r="Z32" s="9"/>
    </row>
    <row r="33" spans="1:19" ht="13.5">
      <c r="A33" s="11">
        <f t="shared" si="0"/>
        <v>27</v>
      </c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</row>
    <row r="34" spans="1:19" ht="13.5">
      <c r="A34" s="11">
        <f t="shared" si="0"/>
        <v>28</v>
      </c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</row>
    <row r="35" spans="1:19" ht="13.5">
      <c r="A35" s="11">
        <f t="shared" si="0"/>
        <v>29</v>
      </c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</row>
    <row r="36" spans="1:19" ht="13.5">
      <c r="A36" s="11">
        <f t="shared" si="0"/>
        <v>30</v>
      </c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</row>
    <row r="37" spans="1:19" ht="13.5">
      <c r="A37" s="11">
        <f t="shared" si="0"/>
        <v>31</v>
      </c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</row>
    <row r="38" spans="1:19" ht="13.5">
      <c r="A38" s="11">
        <f t="shared" si="0"/>
        <v>32</v>
      </c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</row>
    <row r="39" spans="1:19" ht="13.5">
      <c r="A39" s="11">
        <f t="shared" si="0"/>
        <v>33</v>
      </c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</row>
    <row r="40" spans="1:19" ht="13.5">
      <c r="A40" s="11">
        <f t="shared" si="0"/>
        <v>34</v>
      </c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</row>
    <row r="41" spans="1:19" ht="13.5">
      <c r="A41" s="11">
        <f t="shared" si="0"/>
        <v>35</v>
      </c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</row>
    <row r="42" spans="1:19" ht="13.5">
      <c r="A42" s="11">
        <f t="shared" si="0"/>
        <v>36</v>
      </c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</row>
    <row r="43" spans="1:19" ht="13.5">
      <c r="A43" s="11">
        <f t="shared" si="0"/>
        <v>37</v>
      </c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</row>
    <row r="44" spans="1:19" ht="13.5">
      <c r="A44" s="11">
        <f t="shared" si="0"/>
        <v>38</v>
      </c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</row>
    <row r="45" spans="1:19" ht="13.5">
      <c r="A45" s="11">
        <f t="shared" si="0"/>
        <v>39</v>
      </c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</row>
    <row r="46" spans="1:19" ht="13.5">
      <c r="A46" s="11">
        <f t="shared" si="0"/>
        <v>40</v>
      </c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</row>
    <row r="47" spans="1:19" ht="13.5">
      <c r="A47" s="11">
        <f t="shared" si="0"/>
        <v>41</v>
      </c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</row>
    <row r="48" spans="1:19" ht="13.5">
      <c r="A48" s="11">
        <f t="shared" si="0"/>
        <v>42</v>
      </c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</row>
    <row r="49" spans="1:19" ht="13.5">
      <c r="A49" s="11">
        <f t="shared" si="0"/>
        <v>43</v>
      </c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</row>
    <row r="50" spans="1:19" ht="13.5">
      <c r="A50" s="11">
        <f t="shared" si="0"/>
        <v>44</v>
      </c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</row>
    <row r="51" spans="1:19" ht="13.5"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</row>
    <row r="52" spans="1:19" ht="13.5"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</row>
    <row r="53" spans="1:19" ht="13.5"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</row>
    <row r="54" spans="1:19" ht="13.5"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</row>
    <row r="55" spans="1:19" ht="13.5"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</row>
    <row r="56" spans="1:19" ht="13.5"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</row>
    <row r="57" spans="1:19" ht="13.5"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</row>
    <row r="58" spans="1:19" ht="13.5"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</row>
    <row r="59" spans="1:19" ht="13.5"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</row>
    <row r="60" spans="1:19" ht="13.5"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</row>
    <row r="61" spans="1:19" ht="13.5"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</row>
    <row r="62" spans="1:19" ht="13.5"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</row>
    <row r="63" spans="1:19" ht="13.5"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</row>
    <row r="64" spans="1:19" ht="13.5"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</row>
    <row r="65" spans="2:19" ht="13.5"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</row>
    <row r="66" spans="2:19" ht="13.5"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</row>
    <row r="67" spans="2:19" ht="13.5"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</row>
    <row r="68" spans="2:19" ht="13.5"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</row>
    <row r="69" spans="2:19" ht="13.5"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</row>
    <row r="70" spans="2:19" ht="13.5"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</row>
    <row r="71" spans="2:19" ht="13.5"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</row>
    <row r="72" spans="2:19" ht="13.5"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</row>
    <row r="73" spans="2:19" ht="13.5"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</row>
    <row r="74" spans="2:19" ht="13.5"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</row>
    <row r="75" spans="2:19" ht="13.5"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</row>
    <row r="76" spans="2:19" ht="13.5"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</row>
    <row r="77" spans="2:19" ht="13.5"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</row>
    <row r="78" spans="2:19" ht="13.5"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</row>
    <row r="79" spans="2:19" ht="13.5"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</row>
    <row r="80" spans="2:19" ht="13.5"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</row>
    <row r="81" spans="2:19" ht="13.5"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</row>
    <row r="82" spans="2:19" ht="13.5"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</row>
    <row r="83" spans="2:19" ht="13.5"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</row>
    <row r="84" spans="2:19" ht="13.5"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</row>
    <row r="85" spans="2:19" ht="13.5"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</row>
    <row r="86" spans="2:19" ht="13.5"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</row>
    <row r="87" spans="2:19" ht="13.5"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</row>
    <row r="88" spans="2:19" ht="13.5"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</row>
    <row r="89" spans="2:19" ht="13.5"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</row>
    <row r="90" spans="2:19" ht="13.5"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</row>
    <row r="91" spans="2:19" ht="13.5"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</row>
    <row r="92" spans="2:19" ht="13.5"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</row>
    <row r="93" spans="2:19" ht="13.5"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</row>
    <row r="94" spans="2:19" ht="13.5"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</row>
    <row r="95" spans="2:19" ht="13.5"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</row>
    <row r="96" spans="2:19" ht="13.5"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</row>
    <row r="97" spans="2:19" ht="13.5"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</row>
    <row r="98" spans="2:19" ht="13.5"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</row>
    <row r="99" spans="2:19" ht="13.5"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</row>
    <row r="100" spans="2:19" ht="13.5"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</row>
    <row r="101" spans="2:19" ht="13.5"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</row>
    <row r="102" spans="2:19" ht="13.5"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</row>
    <row r="103" spans="2:19" ht="13.5"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</row>
    <row r="104" spans="2:19" ht="13.5"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</row>
    <row r="105" spans="2:19" ht="13.5"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</row>
    <row r="106" spans="2:19" ht="13.5"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1:T13"/>
  <sheetViews>
    <sheetView showGridLines="0" workbookViewId="0">
      <selection activeCell="C11" sqref="C11:Q11"/>
    </sheetView>
  </sheetViews>
  <sheetFormatPr defaultRowHeight="11.25"/>
  <cols>
    <col min="1" max="1" width="3.625" style="3" customWidth="1"/>
    <col min="2" max="4" width="9" style="3"/>
    <col min="5" max="5" width="11.375" style="3" customWidth="1"/>
    <col min="6" max="8" width="9" style="3"/>
    <col min="9" max="9" width="10.5" style="3" customWidth="1"/>
    <col min="10" max="10" width="9" style="3"/>
    <col min="11" max="11" width="9.25" style="3" customWidth="1"/>
    <col min="12" max="16384" width="9" style="3"/>
  </cols>
  <sheetData>
    <row r="1" spans="2:20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2:20">
      <c r="B2" s="10" t="s">
        <v>73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2:20">
      <c r="B3" s="10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2:20">
      <c r="B4" s="43" t="s">
        <v>7</v>
      </c>
      <c r="C4" s="44" t="s">
        <v>86</v>
      </c>
      <c r="D4" s="45" t="s">
        <v>87</v>
      </c>
      <c r="E4" s="45" t="s">
        <v>88</v>
      </c>
      <c r="F4" s="44" t="s">
        <v>89</v>
      </c>
      <c r="G4" s="44" t="s">
        <v>90</v>
      </c>
      <c r="H4" s="44" t="s">
        <v>91</v>
      </c>
      <c r="I4" s="44" t="s">
        <v>92</v>
      </c>
      <c r="J4" s="44" t="s">
        <v>93</v>
      </c>
      <c r="K4" s="45" t="s">
        <v>94</v>
      </c>
      <c r="L4" s="44" t="s">
        <v>95</v>
      </c>
      <c r="M4" s="44" t="s">
        <v>96</v>
      </c>
      <c r="N4" s="44" t="s">
        <v>97</v>
      </c>
      <c r="O4" s="44" t="s">
        <v>98</v>
      </c>
      <c r="P4" s="44" t="s">
        <v>99</v>
      </c>
      <c r="Q4" s="44" t="s">
        <v>100</v>
      </c>
      <c r="R4" s="44" t="s">
        <v>101</v>
      </c>
      <c r="S4" s="46" t="s">
        <v>102</v>
      </c>
    </row>
    <row r="5" spans="2:20" ht="36.75" customHeight="1">
      <c r="B5" s="47" t="s">
        <v>8</v>
      </c>
      <c r="C5" s="48" t="s">
        <v>31</v>
      </c>
      <c r="D5" s="49" t="s">
        <v>32</v>
      </c>
      <c r="E5" s="49" t="s">
        <v>33</v>
      </c>
      <c r="F5" s="50" t="s">
        <v>34</v>
      </c>
      <c r="G5" s="51" t="s">
        <v>35</v>
      </c>
      <c r="H5" s="51" t="s">
        <v>36</v>
      </c>
      <c r="I5" s="51" t="s">
        <v>37</v>
      </c>
      <c r="J5" s="51" t="s">
        <v>38</v>
      </c>
      <c r="K5" s="52" t="s">
        <v>55</v>
      </c>
      <c r="L5" s="50" t="s">
        <v>9</v>
      </c>
      <c r="M5" s="50" t="s">
        <v>10</v>
      </c>
      <c r="N5" s="51" t="s">
        <v>11</v>
      </c>
      <c r="O5" s="49" t="s">
        <v>12</v>
      </c>
      <c r="P5" s="49" t="s">
        <v>13</v>
      </c>
      <c r="Q5" s="49" t="s">
        <v>14</v>
      </c>
      <c r="R5" s="49" t="s">
        <v>15</v>
      </c>
      <c r="S5" s="53" t="s">
        <v>16</v>
      </c>
    </row>
    <row r="6" spans="2:20">
      <c r="B6" s="13"/>
      <c r="C6" s="1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2:20">
      <c r="B7" s="13"/>
      <c r="C7" s="1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9" spans="2:20">
      <c r="B9" s="6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</row>
    <row r="10" spans="2:20">
      <c r="B10" s="61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</row>
    <row r="11" spans="2:20">
      <c r="B11" s="12" t="s">
        <v>1</v>
      </c>
      <c r="C11" s="5">
        <f>IF(TMPki!C7="","",AVERAGE(TMPki!C7:C106))</f>
        <v>97.583333333333329</v>
      </c>
      <c r="D11" s="5">
        <f>IF(TMPki!D7="","",AVERAGE(TMPki!D7:D106))</f>
        <v>109.20512410389313</v>
      </c>
      <c r="E11" s="5">
        <f>IF(TMPki!E7="","",AVERAGE(TMPki!E7:E106))</f>
        <v>99.724790218007399</v>
      </c>
      <c r="F11" s="5">
        <f>IF(TMPki!F7="","",AVERAGE(TMPki!F7:F106))</f>
        <v>97.575000000000003</v>
      </c>
      <c r="G11" s="5">
        <f>IF(TMPki!G7="","",AVERAGE(TMPki!G7:G106))</f>
        <v>99.75</v>
      </c>
      <c r="H11" s="5">
        <f>IF(TMPki!H7="","",AVERAGE(TMPki!H7:H106))</f>
        <v>96.86666666666666</v>
      </c>
      <c r="I11" s="5">
        <f>IF(TMPki!I7="","",AVERAGE(TMPki!I7:I106))</f>
        <v>97.583333333333329</v>
      </c>
      <c r="J11" s="5">
        <f>IF(TMPki!J7="","",AVERAGE(TMPki!J7:J106))</f>
        <v>98.97499999999998</v>
      </c>
      <c r="K11" s="5">
        <f>IF(TMPki!K7="","",AVERAGE(TMPki!K7:K106))</f>
        <v>107.31782529547824</v>
      </c>
      <c r="L11" s="5">
        <f>IF(TMPki!L7="","",AVERAGE(TMPki!L7:L106))</f>
        <v>95.783333333333317</v>
      </c>
      <c r="M11" s="5">
        <f>IF(TMPki!M7="","",AVERAGE(TMPki!M7:M106))</f>
        <v>97.95</v>
      </c>
      <c r="N11" s="5">
        <f>IF(TMPki!N7="","",AVERAGE(TMPki!N7:N106))</f>
        <v>100.22499999999998</v>
      </c>
      <c r="O11" s="5">
        <f>IF(TMPki!O7="","",AVERAGE(TMPki!O7:O106))</f>
        <v>98.730223446226702</v>
      </c>
      <c r="P11" s="5">
        <f>IF(TMPki!P7="","",AVERAGE(TMPki!P7:P106))</f>
        <v>99.590599085337033</v>
      </c>
      <c r="Q11" s="5">
        <f>IF(TMPki!Q7="","",AVERAGE(TMPki!Q7:Q106))</f>
        <v>162.3384619842374</v>
      </c>
      <c r="R11" s="5">
        <f>IF(TMPki!R7="","",AVERAGE(TMPki!R7:R106))</f>
        <v>98.46798772393322</v>
      </c>
      <c r="S11" s="5">
        <f>IF(TMPki!S7="","",AVERAGE(TMPki!S7:S106))</f>
        <v>63.788638610802117</v>
      </c>
      <c r="T11" s="62"/>
    </row>
    <row r="12" spans="2:20"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</row>
    <row r="13" spans="2:20"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2:V216"/>
  <sheetViews>
    <sheetView showGridLines="0" showZeros="0" tabSelected="1" zoomScale="90" zoomScaleNormal="90" zoomScaleSheetLayoutView="100" workbookViewId="0">
      <pane xSplit="3" ySplit="15" topLeftCell="D183" activePane="bottomRight" state="frozen"/>
      <selection pane="topRight" activeCell="D1" sqref="D1"/>
      <selection pane="bottomLeft" activeCell="A16" sqref="A16"/>
      <selection pane="bottomRight" activeCell="W189" sqref="W189"/>
    </sheetView>
  </sheetViews>
  <sheetFormatPr defaultRowHeight="12" customHeight="1"/>
  <cols>
    <col min="1" max="1" width="5.625" style="73" customWidth="1"/>
    <col min="2" max="2" width="7.625" style="73" customWidth="1"/>
    <col min="3" max="3" width="10.625" style="73" customWidth="1"/>
    <col min="4" max="7" width="7.625" style="73" customWidth="1"/>
    <col min="8" max="8" width="10.625" style="73" customWidth="1"/>
    <col min="9" max="9" width="7.625" style="73" customWidth="1"/>
    <col min="10" max="12" width="10.625" style="73" customWidth="1"/>
    <col min="13" max="13" width="11.375" style="73" customWidth="1"/>
    <col min="14" max="17" width="7.625" style="73" customWidth="1"/>
    <col min="18" max="18" width="12.625" style="73" customWidth="1"/>
    <col min="19" max="19" width="13.125" style="73" customWidth="1"/>
    <col min="20" max="20" width="10.625" style="73" customWidth="1"/>
    <col min="21" max="16384" width="9" style="73"/>
  </cols>
  <sheetData>
    <row r="2" spans="2:20" s="242" customFormat="1" ht="15" customHeight="1">
      <c r="B2" s="243" t="s">
        <v>336</v>
      </c>
      <c r="C2" s="244"/>
      <c r="D2" s="244"/>
      <c r="E2" s="245"/>
    </row>
    <row r="3" spans="2:20" ht="12" customHeight="1">
      <c r="B3" s="74"/>
      <c r="C3" s="74"/>
      <c r="D3" s="74"/>
      <c r="E3" s="74"/>
      <c r="F3" s="74"/>
      <c r="G3" s="74"/>
      <c r="H3" s="74"/>
      <c r="I3" s="74"/>
      <c r="J3" s="74"/>
      <c r="K3" s="75"/>
      <c r="L3" s="76"/>
      <c r="M3" s="76"/>
      <c r="N3" s="74"/>
      <c r="O3" s="74"/>
      <c r="P3" s="74"/>
      <c r="Q3" s="74"/>
      <c r="R3" s="74"/>
      <c r="S3" s="74"/>
      <c r="T3" s="74"/>
    </row>
    <row r="4" spans="2:20" ht="12" customHeight="1">
      <c r="B4" s="654" t="s">
        <v>7</v>
      </c>
      <c r="C4" s="655"/>
      <c r="D4" s="248" t="s">
        <v>103</v>
      </c>
      <c r="E4" s="93" t="s">
        <v>75</v>
      </c>
      <c r="F4" s="93"/>
      <c r="G4" s="93"/>
      <c r="H4" s="93"/>
      <c r="I4" s="93"/>
      <c r="J4" s="93"/>
      <c r="K4" s="93"/>
      <c r="L4" s="93" t="s">
        <v>76</v>
      </c>
      <c r="M4" s="93"/>
      <c r="N4" s="93"/>
      <c r="O4" s="249" t="s">
        <v>77</v>
      </c>
      <c r="P4" s="249" t="s">
        <v>268</v>
      </c>
      <c r="Q4" s="249" t="s">
        <v>79</v>
      </c>
      <c r="R4" s="249" t="s">
        <v>2</v>
      </c>
      <c r="S4" s="249" t="s">
        <v>3</v>
      </c>
      <c r="T4" s="250" t="s">
        <v>269</v>
      </c>
    </row>
    <row r="5" spans="2:20" ht="12" customHeight="1">
      <c r="B5" s="643" t="s">
        <v>8</v>
      </c>
      <c r="C5" s="644"/>
      <c r="D5" s="645" t="s">
        <v>31</v>
      </c>
      <c r="E5" s="646" t="s">
        <v>32</v>
      </c>
      <c r="F5" s="646"/>
      <c r="G5" s="646"/>
      <c r="H5" s="646"/>
      <c r="I5" s="646"/>
      <c r="J5" s="646"/>
      <c r="K5" s="646"/>
      <c r="L5" s="646" t="s">
        <v>33</v>
      </c>
      <c r="M5" s="646"/>
      <c r="N5" s="646"/>
      <c r="O5" s="642" t="s">
        <v>34</v>
      </c>
      <c r="P5" s="641" t="s">
        <v>270</v>
      </c>
      <c r="Q5" s="641" t="s">
        <v>263</v>
      </c>
      <c r="R5" s="641" t="s">
        <v>141</v>
      </c>
      <c r="S5" s="641" t="s">
        <v>271</v>
      </c>
      <c r="T5" s="653" t="s">
        <v>272</v>
      </c>
    </row>
    <row r="6" spans="2:20" ht="12" customHeight="1">
      <c r="B6" s="643"/>
      <c r="C6" s="644"/>
      <c r="D6" s="645"/>
      <c r="E6" s="646"/>
      <c r="F6" s="646"/>
      <c r="G6" s="646"/>
      <c r="H6" s="646"/>
      <c r="I6" s="646"/>
      <c r="J6" s="646"/>
      <c r="K6" s="646"/>
      <c r="L6" s="646"/>
      <c r="M6" s="646"/>
      <c r="N6" s="646"/>
      <c r="O6" s="642"/>
      <c r="P6" s="641"/>
      <c r="Q6" s="641"/>
      <c r="R6" s="641"/>
      <c r="S6" s="641"/>
      <c r="T6" s="653"/>
    </row>
    <row r="7" spans="2:20" ht="12" customHeight="1">
      <c r="B7" s="643"/>
      <c r="C7" s="644"/>
      <c r="D7" s="645"/>
      <c r="E7" s="646"/>
      <c r="F7" s="646"/>
      <c r="G7" s="646"/>
      <c r="H7" s="646"/>
      <c r="I7" s="646"/>
      <c r="J7" s="646"/>
      <c r="K7" s="646"/>
      <c r="L7" s="646"/>
      <c r="M7" s="646"/>
      <c r="N7" s="646"/>
      <c r="O7" s="642"/>
      <c r="P7" s="642"/>
      <c r="Q7" s="642"/>
      <c r="R7" s="642"/>
      <c r="S7" s="642"/>
      <c r="T7" s="653"/>
    </row>
    <row r="8" spans="2:20" ht="12" customHeight="1">
      <c r="B8" s="643" t="s">
        <v>17</v>
      </c>
      <c r="C8" s="644"/>
      <c r="D8" s="651" t="s">
        <v>142</v>
      </c>
      <c r="E8" s="646" t="s">
        <v>39</v>
      </c>
      <c r="F8" s="646"/>
      <c r="G8" s="646"/>
      <c r="H8" s="646"/>
      <c r="I8" s="646"/>
      <c r="J8" s="646"/>
      <c r="K8" s="646"/>
      <c r="L8" s="649" t="s">
        <v>262</v>
      </c>
      <c r="M8" s="649"/>
      <c r="N8" s="649"/>
      <c r="O8" s="649"/>
      <c r="P8" s="649"/>
      <c r="Q8" s="649"/>
      <c r="R8" s="641" t="s">
        <v>142</v>
      </c>
      <c r="S8" s="641" t="s">
        <v>273</v>
      </c>
      <c r="T8" s="653"/>
    </row>
    <row r="9" spans="2:20" ht="12" customHeight="1">
      <c r="B9" s="643"/>
      <c r="C9" s="644"/>
      <c r="D9" s="651"/>
      <c r="E9" s="646"/>
      <c r="F9" s="646"/>
      <c r="G9" s="646"/>
      <c r="H9" s="646"/>
      <c r="I9" s="646"/>
      <c r="J9" s="646"/>
      <c r="K9" s="646"/>
      <c r="L9" s="649"/>
      <c r="M9" s="649"/>
      <c r="N9" s="649"/>
      <c r="O9" s="649"/>
      <c r="P9" s="649"/>
      <c r="Q9" s="649"/>
      <c r="R9" s="641"/>
      <c r="S9" s="641"/>
      <c r="T9" s="653"/>
    </row>
    <row r="10" spans="2:20" ht="12" customHeight="1">
      <c r="B10" s="643"/>
      <c r="C10" s="644"/>
      <c r="D10" s="652"/>
      <c r="E10" s="646"/>
      <c r="F10" s="646"/>
      <c r="G10" s="646"/>
      <c r="H10" s="646"/>
      <c r="I10" s="646"/>
      <c r="J10" s="646"/>
      <c r="K10" s="646"/>
      <c r="L10" s="649"/>
      <c r="M10" s="649"/>
      <c r="N10" s="649"/>
      <c r="O10" s="649"/>
      <c r="P10" s="649"/>
      <c r="Q10" s="649"/>
      <c r="R10" s="642"/>
      <c r="S10" s="642"/>
      <c r="T10" s="653"/>
    </row>
    <row r="11" spans="2:20" ht="12" customHeight="1">
      <c r="B11" s="643"/>
      <c r="C11" s="644"/>
      <c r="D11" s="658" t="s">
        <v>274</v>
      </c>
      <c r="E11" s="649" t="s">
        <v>275</v>
      </c>
      <c r="F11" s="649" t="s">
        <v>276</v>
      </c>
      <c r="G11" s="649" t="s">
        <v>277</v>
      </c>
      <c r="H11" s="649" t="s">
        <v>40</v>
      </c>
      <c r="I11" s="649" t="s">
        <v>278</v>
      </c>
      <c r="J11" s="649" t="s">
        <v>41</v>
      </c>
      <c r="K11" s="650" t="s">
        <v>42</v>
      </c>
      <c r="L11" s="649" t="s">
        <v>279</v>
      </c>
      <c r="M11" s="649" t="s">
        <v>43</v>
      </c>
      <c r="N11" s="650" t="s">
        <v>42</v>
      </c>
      <c r="O11" s="649" t="s">
        <v>44</v>
      </c>
      <c r="P11" s="649" t="s">
        <v>45</v>
      </c>
      <c r="Q11" s="649" t="s">
        <v>280</v>
      </c>
      <c r="R11" s="649" t="s">
        <v>274</v>
      </c>
      <c r="S11" s="641" t="s">
        <v>271</v>
      </c>
      <c r="T11" s="653"/>
    </row>
    <row r="12" spans="2:20" ht="12" customHeight="1">
      <c r="B12" s="656"/>
      <c r="C12" s="657"/>
      <c r="D12" s="658"/>
      <c r="E12" s="649"/>
      <c r="F12" s="649"/>
      <c r="G12" s="649"/>
      <c r="H12" s="649"/>
      <c r="I12" s="649"/>
      <c r="J12" s="649"/>
      <c r="K12" s="650"/>
      <c r="L12" s="649"/>
      <c r="M12" s="649"/>
      <c r="N12" s="650"/>
      <c r="O12" s="649"/>
      <c r="P12" s="649"/>
      <c r="Q12" s="649"/>
      <c r="R12" s="649"/>
      <c r="S12" s="641"/>
      <c r="T12" s="653"/>
    </row>
    <row r="13" spans="2:20" ht="12" customHeight="1">
      <c r="B13" s="656"/>
      <c r="C13" s="657"/>
      <c r="D13" s="658"/>
      <c r="E13" s="649"/>
      <c r="F13" s="649"/>
      <c r="G13" s="649"/>
      <c r="H13" s="649"/>
      <c r="I13" s="649"/>
      <c r="J13" s="649"/>
      <c r="K13" s="650"/>
      <c r="L13" s="649"/>
      <c r="M13" s="649"/>
      <c r="N13" s="650"/>
      <c r="O13" s="649"/>
      <c r="P13" s="649"/>
      <c r="Q13" s="649"/>
      <c r="R13" s="649"/>
      <c r="S13" s="641"/>
      <c r="T13" s="653"/>
    </row>
    <row r="14" spans="2:20" ht="12" customHeight="1">
      <c r="B14" s="656"/>
      <c r="C14" s="657"/>
      <c r="D14" s="658"/>
      <c r="E14" s="94">
        <v>40.6</v>
      </c>
      <c r="F14" s="94">
        <v>152.69999999999999</v>
      </c>
      <c r="G14" s="94">
        <v>374</v>
      </c>
      <c r="H14" s="94">
        <v>2802.5</v>
      </c>
      <c r="I14" s="94">
        <v>155.80000000000001</v>
      </c>
      <c r="J14" s="94">
        <v>207.89999999999998</v>
      </c>
      <c r="K14" s="94">
        <v>3733.5000000000005</v>
      </c>
      <c r="L14" s="95">
        <v>24409</v>
      </c>
      <c r="M14" s="95">
        <v>86373</v>
      </c>
      <c r="N14" s="96">
        <v>110782</v>
      </c>
      <c r="O14" s="97"/>
      <c r="P14" s="97"/>
      <c r="Q14" s="97"/>
      <c r="R14" s="98"/>
      <c r="S14" s="97"/>
      <c r="T14" s="99"/>
    </row>
    <row r="15" spans="2:20" ht="12" customHeight="1">
      <c r="B15" s="647" t="s">
        <v>139</v>
      </c>
      <c r="C15" s="648"/>
      <c r="D15" s="100" t="s">
        <v>30</v>
      </c>
      <c r="E15" s="101">
        <v>1.0874514530601311</v>
      </c>
      <c r="F15" s="101">
        <v>4.0899959823222165</v>
      </c>
      <c r="G15" s="101">
        <v>10.01740993705638</v>
      </c>
      <c r="H15" s="101">
        <v>75.063613231552154</v>
      </c>
      <c r="I15" s="101">
        <v>4.1730279898218825</v>
      </c>
      <c r="J15" s="101">
        <v>5.568501406187222</v>
      </c>
      <c r="K15" s="101">
        <v>100</v>
      </c>
      <c r="L15" s="101">
        <v>22</v>
      </c>
      <c r="M15" s="101">
        <v>78</v>
      </c>
      <c r="N15" s="101">
        <v>100</v>
      </c>
      <c r="O15" s="101" t="s">
        <v>30</v>
      </c>
      <c r="P15" s="101" t="s">
        <v>30</v>
      </c>
      <c r="Q15" s="101" t="s">
        <v>30</v>
      </c>
      <c r="R15" s="101" t="s">
        <v>30</v>
      </c>
      <c r="S15" s="101" t="s">
        <v>30</v>
      </c>
      <c r="T15" s="102"/>
    </row>
    <row r="16" spans="2:20" ht="12" hidden="1" customHeight="1">
      <c r="B16" s="256" t="s">
        <v>236</v>
      </c>
      <c r="C16" s="257" t="s">
        <v>380</v>
      </c>
      <c r="D16" s="85">
        <v>101.5</v>
      </c>
      <c r="E16" s="408">
        <v>78.71362940275651</v>
      </c>
      <c r="F16" s="408">
        <v>84.383088869715266</v>
      </c>
      <c r="G16" s="408">
        <v>72.788605697151411</v>
      </c>
      <c r="H16" s="408">
        <v>82.112190144506101</v>
      </c>
      <c r="I16" s="408">
        <v>63.684210526315788</v>
      </c>
      <c r="J16" s="80">
        <v>99.317303047927922</v>
      </c>
      <c r="K16" s="319">
        <f t="shared" ref="K16:K76" si="0">($E$14*E16+F$14*F16+$G$14*G16+$H$14*H16+$I$14*I16+$J$14*J16)/$K$14</f>
        <v>81.423192644578705</v>
      </c>
      <c r="L16" s="411">
        <v>98.208166062861054</v>
      </c>
      <c r="M16" s="408">
        <v>93.141713661997457</v>
      </c>
      <c r="N16" s="91">
        <f>($L$14*L16+$M$14*M16)/$N$14</f>
        <v>94.25802350161652</v>
      </c>
      <c r="O16" s="408">
        <v>98.386005605489515</v>
      </c>
      <c r="P16" s="408">
        <v>89.081262217257745</v>
      </c>
      <c r="Q16" s="408">
        <v>95.483624558388243</v>
      </c>
      <c r="R16" s="85">
        <v>101.5</v>
      </c>
      <c r="S16" s="446">
        <v>95.311151596509745</v>
      </c>
      <c r="T16" s="638" t="s">
        <v>195</v>
      </c>
    </row>
    <row r="17" spans="2:20" ht="12" hidden="1" customHeight="1">
      <c r="B17" s="252" t="s">
        <v>198</v>
      </c>
      <c r="C17" s="253" t="s">
        <v>198</v>
      </c>
      <c r="D17" s="83">
        <v>101</v>
      </c>
      <c r="E17" s="409">
        <v>77.029096477794781</v>
      </c>
      <c r="F17" s="409">
        <v>87.057808455565151</v>
      </c>
      <c r="G17" s="409">
        <v>73.088455772113946</v>
      </c>
      <c r="H17" s="409">
        <v>81.954149498327354</v>
      </c>
      <c r="I17" s="409">
        <v>64.53947368421052</v>
      </c>
      <c r="J17" s="81">
        <v>99.584328371491253</v>
      </c>
      <c r="K17" s="163">
        <f t="shared" si="0"/>
        <v>81.476235962080978</v>
      </c>
      <c r="L17" s="412">
        <v>98.208166062861054</v>
      </c>
      <c r="M17" s="409">
        <v>93.141713661997457</v>
      </c>
      <c r="N17" s="90">
        <f t="shared" ref="N17:N76" si="1">($L$14*L17+$M$14*M17)/$N$14</f>
        <v>94.25802350161652</v>
      </c>
      <c r="O17" s="409">
        <v>98.096066492703201</v>
      </c>
      <c r="P17" s="409">
        <v>90.756771851438145</v>
      </c>
      <c r="Q17" s="409">
        <v>95.483624558388243</v>
      </c>
      <c r="R17" s="83">
        <v>101</v>
      </c>
      <c r="S17" s="447">
        <v>95.502924537347781</v>
      </c>
      <c r="T17" s="639"/>
    </row>
    <row r="18" spans="2:20" ht="12" hidden="1" customHeight="1">
      <c r="B18" s="252" t="s">
        <v>199</v>
      </c>
      <c r="C18" s="253" t="s">
        <v>199</v>
      </c>
      <c r="D18" s="83">
        <v>101.8</v>
      </c>
      <c r="E18" s="409">
        <v>76.952526799387442</v>
      </c>
      <c r="F18" s="409">
        <v>85.332182916307161</v>
      </c>
      <c r="G18" s="409">
        <v>74.287856071964015</v>
      </c>
      <c r="H18" s="409">
        <v>81.795414599482186</v>
      </c>
      <c r="I18" s="409">
        <v>64.934210526315795</v>
      </c>
      <c r="J18" s="81">
        <v>100.06134281279331</v>
      </c>
      <c r="K18" s="163">
        <f t="shared" si="0"/>
        <v>81.448857017843395</v>
      </c>
      <c r="L18" s="412">
        <v>98.110251640066579</v>
      </c>
      <c r="M18" s="409">
        <v>93.141713661997457</v>
      </c>
      <c r="N18" s="90">
        <f t="shared" si="1"/>
        <v>94.236449661588452</v>
      </c>
      <c r="O18" s="409">
        <v>96.066492703199003</v>
      </c>
      <c r="P18" s="409">
        <v>91.408358931397188</v>
      </c>
      <c r="Q18" s="409">
        <v>95.38814093382986</v>
      </c>
      <c r="R18" s="83">
        <v>101.8</v>
      </c>
      <c r="S18" s="447">
        <v>95.598811007766813</v>
      </c>
      <c r="T18" s="639"/>
    </row>
    <row r="19" spans="2:20" ht="12" hidden="1" customHeight="1">
      <c r="B19" s="252" t="s">
        <v>200</v>
      </c>
      <c r="C19" s="253" t="s">
        <v>200</v>
      </c>
      <c r="D19" s="83">
        <v>102.5</v>
      </c>
      <c r="E19" s="409">
        <v>76.033690658499225</v>
      </c>
      <c r="F19" s="409">
        <v>85.245901639344254</v>
      </c>
      <c r="G19" s="409">
        <v>75.112443778110944</v>
      </c>
      <c r="H19" s="409">
        <v>80.844399983377784</v>
      </c>
      <c r="I19" s="409">
        <v>65.46052631578948</v>
      </c>
      <c r="J19" s="81">
        <v>103.57084232841758</v>
      </c>
      <c r="K19" s="163">
        <f t="shared" si="0"/>
        <v>81.021462452811207</v>
      </c>
      <c r="L19" s="412">
        <v>98.012337217272091</v>
      </c>
      <c r="M19" s="409">
        <v>93.05075495724941</v>
      </c>
      <c r="N19" s="90">
        <f t="shared" si="1"/>
        <v>94.143958378246452</v>
      </c>
      <c r="O19" s="409">
        <v>96.356431815985317</v>
      </c>
      <c r="P19" s="409">
        <v>92.804616959880846</v>
      </c>
      <c r="Q19" s="409">
        <v>95.292657309271462</v>
      </c>
      <c r="R19" s="83">
        <v>102.5</v>
      </c>
      <c r="S19" s="447">
        <v>96.174129830280947</v>
      </c>
      <c r="T19" s="639"/>
    </row>
    <row r="20" spans="2:20" ht="12" hidden="1" customHeight="1">
      <c r="B20" s="252" t="s">
        <v>201</v>
      </c>
      <c r="C20" s="253" t="s">
        <v>201</v>
      </c>
      <c r="D20" s="83">
        <v>102.6</v>
      </c>
      <c r="E20" s="409">
        <v>75.957120980091887</v>
      </c>
      <c r="F20" s="409">
        <v>84.98705780845556</v>
      </c>
      <c r="G20" s="409">
        <v>75.937031484257858</v>
      </c>
      <c r="H20" s="409">
        <v>80.765773322620277</v>
      </c>
      <c r="I20" s="409">
        <v>66.973684210526315</v>
      </c>
      <c r="J20" s="81">
        <v>105.329042037359</v>
      </c>
      <c r="K20" s="163">
        <f t="shared" si="0"/>
        <v>81.194675288727893</v>
      </c>
      <c r="L20" s="412">
        <v>98.012337217272091</v>
      </c>
      <c r="M20" s="409">
        <v>93.05075495724941</v>
      </c>
      <c r="N20" s="90">
        <f t="shared" si="1"/>
        <v>94.143958378246452</v>
      </c>
      <c r="O20" s="409">
        <v>96.936310041557945</v>
      </c>
      <c r="P20" s="409">
        <v>96.155636228241647</v>
      </c>
      <c r="Q20" s="409">
        <v>95.292657309271462</v>
      </c>
      <c r="R20" s="83">
        <v>102.6</v>
      </c>
      <c r="S20" s="447">
        <v>96.174129830280947</v>
      </c>
      <c r="T20" s="639"/>
    </row>
    <row r="21" spans="2:20" ht="12" hidden="1" customHeight="1">
      <c r="B21" s="252" t="s">
        <v>202</v>
      </c>
      <c r="C21" s="253" t="s">
        <v>202</v>
      </c>
      <c r="D21" s="83">
        <v>102.7</v>
      </c>
      <c r="E21" s="409">
        <v>74.808575803981626</v>
      </c>
      <c r="F21" s="409">
        <v>85.591026747195855</v>
      </c>
      <c r="G21" s="409">
        <v>75.712143928035971</v>
      </c>
      <c r="H21" s="409">
        <v>80.685847509284685</v>
      </c>
      <c r="I21" s="409">
        <v>66.84210526315789</v>
      </c>
      <c r="J21" s="81">
        <v>101.69956501762236</v>
      </c>
      <c r="K21" s="163">
        <f t="shared" si="0"/>
        <v>80.916766305867924</v>
      </c>
      <c r="L21" s="412">
        <v>97.914422794477616</v>
      </c>
      <c r="M21" s="409">
        <v>91.04966345279243</v>
      </c>
      <c r="N21" s="90">
        <f t="shared" si="1"/>
        <v>92.562200785312086</v>
      </c>
      <c r="O21" s="409">
        <v>95.196675364840061</v>
      </c>
      <c r="P21" s="409">
        <v>95.50404914828259</v>
      </c>
      <c r="Q21" s="409">
        <v>95.292657309271462</v>
      </c>
      <c r="R21" s="83">
        <v>102.7</v>
      </c>
      <c r="S21" s="447">
        <v>95.982356889442897</v>
      </c>
      <c r="T21" s="639"/>
    </row>
    <row r="22" spans="2:20" ht="12" hidden="1" customHeight="1">
      <c r="B22" s="252" t="s">
        <v>237</v>
      </c>
      <c r="C22" s="253" t="s">
        <v>203</v>
      </c>
      <c r="D22" s="83">
        <v>102.8</v>
      </c>
      <c r="E22" s="409">
        <v>74.425727411944862</v>
      </c>
      <c r="F22" s="409">
        <v>85.159620362381361</v>
      </c>
      <c r="G22" s="409">
        <v>75.637181409295351</v>
      </c>
      <c r="H22" s="409">
        <v>80.686281748950762</v>
      </c>
      <c r="I22" s="409">
        <v>67.30263157894737</v>
      </c>
      <c r="J22" s="81">
        <v>98.413242427569429</v>
      </c>
      <c r="K22" s="163">
        <f t="shared" si="0"/>
        <v>80.723994137260803</v>
      </c>
      <c r="L22" s="412">
        <v>97.914422794477616</v>
      </c>
      <c r="M22" s="409">
        <v>89.230489357831544</v>
      </c>
      <c r="N22" s="90">
        <f t="shared" si="1"/>
        <v>91.143851919033679</v>
      </c>
      <c r="O22" s="409">
        <v>96.743017299700398</v>
      </c>
      <c r="P22" s="409">
        <v>94.573210462626818</v>
      </c>
      <c r="Q22" s="409">
        <v>95.483624558388243</v>
      </c>
      <c r="R22" s="83">
        <v>102.8</v>
      </c>
      <c r="S22" s="447">
        <v>95.982356889442897</v>
      </c>
      <c r="T22" s="639"/>
    </row>
    <row r="23" spans="2:20" ht="12" hidden="1" customHeight="1">
      <c r="B23" s="252" t="s">
        <v>204</v>
      </c>
      <c r="C23" s="253" t="s">
        <v>205</v>
      </c>
      <c r="D23" s="83">
        <v>102</v>
      </c>
      <c r="E23" s="409">
        <v>76.033690658499225</v>
      </c>
      <c r="F23" s="409">
        <v>82.139775668679903</v>
      </c>
      <c r="G23" s="409">
        <v>75.337331334332831</v>
      </c>
      <c r="H23" s="409">
        <v>80.528318651756848</v>
      </c>
      <c r="I23" s="409">
        <v>66.18421052631578</v>
      </c>
      <c r="J23" s="81">
        <v>99.803745209734402</v>
      </c>
      <c r="K23" s="163">
        <f t="shared" si="0"/>
        <v>80.500116554181133</v>
      </c>
      <c r="L23" s="412">
        <v>97.816508371683142</v>
      </c>
      <c r="M23" s="409">
        <v>89.139530653083511</v>
      </c>
      <c r="N23" s="90">
        <f t="shared" si="1"/>
        <v>91.05136063569168</v>
      </c>
      <c r="O23" s="409">
        <v>97.032956412486726</v>
      </c>
      <c r="P23" s="409">
        <v>94.014707251233361</v>
      </c>
      <c r="Q23" s="409">
        <v>95.483624558388243</v>
      </c>
      <c r="R23" s="83">
        <v>102</v>
      </c>
      <c r="S23" s="447">
        <v>95.790583948604862</v>
      </c>
      <c r="T23" s="639"/>
    </row>
    <row r="24" spans="2:20" ht="12" hidden="1" customHeight="1">
      <c r="B24" s="252" t="s">
        <v>206</v>
      </c>
      <c r="C24" s="253" t="s">
        <v>206</v>
      </c>
      <c r="D24" s="83">
        <v>102.3</v>
      </c>
      <c r="E24" s="409">
        <v>76.033690658499225</v>
      </c>
      <c r="F24" s="409">
        <v>83.002588438308891</v>
      </c>
      <c r="G24" s="409">
        <v>75.337331334332831</v>
      </c>
      <c r="H24" s="409">
        <v>80.528318651756848</v>
      </c>
      <c r="I24" s="409">
        <v>65.855263157894726</v>
      </c>
      <c r="J24" s="81">
        <v>99.065859100880289</v>
      </c>
      <c r="K24" s="163">
        <f t="shared" si="0"/>
        <v>80.480589297690329</v>
      </c>
      <c r="L24" s="412">
        <v>97.816508371683142</v>
      </c>
      <c r="M24" s="409">
        <v>89.139530653083511</v>
      </c>
      <c r="N24" s="90">
        <f t="shared" si="1"/>
        <v>91.05136063569168</v>
      </c>
      <c r="O24" s="409">
        <v>96.936310041557945</v>
      </c>
      <c r="P24" s="409">
        <v>93.270036302708746</v>
      </c>
      <c r="Q24" s="409">
        <v>95.579108182946626</v>
      </c>
      <c r="R24" s="83">
        <v>102.3</v>
      </c>
      <c r="S24" s="447">
        <v>96.365902771118996</v>
      </c>
      <c r="T24" s="639"/>
    </row>
    <row r="25" spans="2:20" ht="12" hidden="1" customHeight="1">
      <c r="B25" s="252" t="s">
        <v>207</v>
      </c>
      <c r="C25" s="253" t="s">
        <v>207</v>
      </c>
      <c r="D25" s="83">
        <v>102.1</v>
      </c>
      <c r="E25" s="409">
        <v>76.033690658499225</v>
      </c>
      <c r="F25" s="409">
        <v>87.489214840379645</v>
      </c>
      <c r="G25" s="409">
        <v>75.112443778110944</v>
      </c>
      <c r="H25" s="409">
        <v>80.290003698920543</v>
      </c>
      <c r="I25" s="409">
        <v>66.18421052631578</v>
      </c>
      <c r="J25" s="81">
        <v>97.466436274209727</v>
      </c>
      <c r="K25" s="163">
        <f t="shared" si="0"/>
        <v>80.387339597564633</v>
      </c>
      <c r="L25" s="412">
        <v>97.816508371683142</v>
      </c>
      <c r="M25" s="409">
        <v>88.957613243587417</v>
      </c>
      <c r="N25" s="90">
        <f t="shared" si="1"/>
        <v>90.909525749063832</v>
      </c>
      <c r="O25" s="409">
        <v>96.066492703199003</v>
      </c>
      <c r="P25" s="409">
        <v>92.897700828446432</v>
      </c>
      <c r="Q25" s="409">
        <v>95.579108182946626</v>
      </c>
      <c r="R25" s="83">
        <v>102.1</v>
      </c>
      <c r="S25" s="447">
        <v>95.88647041902388</v>
      </c>
      <c r="T25" s="639"/>
    </row>
    <row r="26" spans="2:20" ht="12" hidden="1" customHeight="1">
      <c r="B26" s="252" t="s">
        <v>208</v>
      </c>
      <c r="C26" s="253" t="s">
        <v>208</v>
      </c>
      <c r="D26" s="83">
        <v>101.8</v>
      </c>
      <c r="E26" s="409">
        <v>76.263399693721283</v>
      </c>
      <c r="F26" s="409">
        <v>92.062122519413293</v>
      </c>
      <c r="G26" s="409">
        <v>75.187406296851563</v>
      </c>
      <c r="H26" s="409">
        <v>80.449122426376988</v>
      </c>
      <c r="I26" s="409">
        <v>65.46052631578948</v>
      </c>
      <c r="J26" s="81">
        <v>95.079937432343726</v>
      </c>
      <c r="K26" s="163">
        <f t="shared" si="0"/>
        <v>80.540727114880866</v>
      </c>
      <c r="L26" s="412">
        <v>97.620679526094193</v>
      </c>
      <c r="M26" s="409">
        <v>89.048571948335464</v>
      </c>
      <c r="N26" s="90">
        <f t="shared" si="1"/>
        <v>90.937295512321612</v>
      </c>
      <c r="O26" s="409">
        <v>96.549724557842865</v>
      </c>
      <c r="P26" s="409">
        <v>92.897700828446432</v>
      </c>
      <c r="Q26" s="409">
        <v>95.674591807505024</v>
      </c>
      <c r="R26" s="83">
        <v>101.8</v>
      </c>
      <c r="S26" s="447">
        <v>95.502924537347781</v>
      </c>
      <c r="T26" s="639"/>
    </row>
    <row r="27" spans="2:20" ht="12" hidden="1" customHeight="1">
      <c r="B27" s="254" t="s">
        <v>209</v>
      </c>
      <c r="C27" s="255" t="s">
        <v>209</v>
      </c>
      <c r="D27" s="84">
        <v>101.4</v>
      </c>
      <c r="E27" s="410">
        <v>80.627871362940269</v>
      </c>
      <c r="F27" s="410">
        <v>92.924935289042281</v>
      </c>
      <c r="G27" s="410">
        <v>76.161919040479745</v>
      </c>
      <c r="H27" s="410">
        <v>80.528027634817121</v>
      </c>
      <c r="I27" s="410">
        <v>66.18421052631578</v>
      </c>
      <c r="J27" s="82">
        <v>98.96890646800793</v>
      </c>
      <c r="K27" s="320">
        <f t="shared" si="0"/>
        <v>81.027084510080442</v>
      </c>
      <c r="L27" s="413">
        <v>97.522765103299704</v>
      </c>
      <c r="M27" s="410">
        <v>89.230489357831544</v>
      </c>
      <c r="N27" s="92">
        <f t="shared" si="1"/>
        <v>91.057556558921362</v>
      </c>
      <c r="O27" s="410">
        <v>95.486614477626361</v>
      </c>
      <c r="P27" s="410">
        <v>93.735455645536632</v>
      </c>
      <c r="Q27" s="410">
        <v>95.674591807505024</v>
      </c>
      <c r="R27" s="84">
        <v>101.4</v>
      </c>
      <c r="S27" s="448">
        <v>95.598811007766813</v>
      </c>
      <c r="T27" s="639"/>
    </row>
    <row r="28" spans="2:20" ht="12" hidden="1" customHeight="1">
      <c r="B28" s="256" t="s">
        <v>238</v>
      </c>
      <c r="C28" s="257" t="s">
        <v>239</v>
      </c>
      <c r="D28" s="85">
        <v>101.4</v>
      </c>
      <c r="E28" s="408">
        <v>80.704441041347621</v>
      </c>
      <c r="F28" s="408">
        <v>92.838654012079374</v>
      </c>
      <c r="G28" s="408">
        <v>76.46176911544228</v>
      </c>
      <c r="H28" s="408">
        <v>78.48830615588642</v>
      </c>
      <c r="I28" s="408">
        <v>66.64473684210526</v>
      </c>
      <c r="J28" s="80">
        <v>98.41235066947668</v>
      </c>
      <c r="K28" s="163">
        <f t="shared" si="0"/>
        <v>79.511562911250721</v>
      </c>
      <c r="L28" s="412">
        <v>97.522765103299704</v>
      </c>
      <c r="M28" s="409">
        <v>89.230489357831544</v>
      </c>
      <c r="N28" s="90">
        <f t="shared" si="1"/>
        <v>91.057556558921362</v>
      </c>
      <c r="O28" s="409">
        <v>95.486614477626361</v>
      </c>
      <c r="P28" s="409">
        <v>96.434887833938376</v>
      </c>
      <c r="Q28" s="408">
        <v>95.674591807505024</v>
      </c>
      <c r="R28" s="85">
        <v>101.4</v>
      </c>
      <c r="S28" s="446">
        <v>95.69469747818583</v>
      </c>
      <c r="T28" s="639"/>
    </row>
    <row r="29" spans="2:20" ht="12" hidden="1" customHeight="1">
      <c r="B29" s="252" t="s">
        <v>198</v>
      </c>
      <c r="C29" s="253" t="s">
        <v>198</v>
      </c>
      <c r="D29" s="83">
        <v>101.3</v>
      </c>
      <c r="E29" s="409">
        <v>83.537519142419598</v>
      </c>
      <c r="F29" s="409">
        <v>95.427092320966338</v>
      </c>
      <c r="G29" s="409">
        <v>76.46176911544228</v>
      </c>
      <c r="H29" s="409">
        <v>78.491210020915958</v>
      </c>
      <c r="I29" s="409">
        <v>67.236842105263165</v>
      </c>
      <c r="J29" s="81">
        <v>99.756166911228931</v>
      </c>
      <c r="K29" s="163">
        <f t="shared" si="0"/>
        <v>79.749957173759384</v>
      </c>
      <c r="L29" s="412">
        <v>97.42485068050523</v>
      </c>
      <c r="M29" s="409">
        <v>89.139530653083511</v>
      </c>
      <c r="N29" s="90">
        <f t="shared" si="1"/>
        <v>90.965065275579377</v>
      </c>
      <c r="O29" s="409">
        <v>95.003382622982514</v>
      </c>
      <c r="P29" s="409">
        <v>97.644978125290891</v>
      </c>
      <c r="Q29" s="409">
        <v>95.579108182946626</v>
      </c>
      <c r="R29" s="83">
        <v>101.3</v>
      </c>
      <c r="S29" s="447">
        <v>95.790583948604862</v>
      </c>
      <c r="T29" s="639"/>
    </row>
    <row r="30" spans="2:20" ht="12" hidden="1" customHeight="1">
      <c r="B30" s="252" t="s">
        <v>199</v>
      </c>
      <c r="C30" s="253" t="s">
        <v>199</v>
      </c>
      <c r="D30" s="83">
        <v>99.7</v>
      </c>
      <c r="E30" s="409">
        <v>84.073506891271052</v>
      </c>
      <c r="F30" s="409">
        <v>97.756686798964623</v>
      </c>
      <c r="G30" s="409">
        <v>76.686656671664167</v>
      </c>
      <c r="H30" s="409">
        <v>78.491210020915958</v>
      </c>
      <c r="I30" s="409">
        <v>67.69736842105263</v>
      </c>
      <c r="J30" s="81">
        <v>99.564393733842564</v>
      </c>
      <c r="K30" s="163">
        <f t="shared" si="0"/>
        <v>79.88213300926013</v>
      </c>
      <c r="L30" s="412">
        <v>97.326936257710756</v>
      </c>
      <c r="M30" s="409">
        <v>89.139530653083511</v>
      </c>
      <c r="N30" s="90">
        <f t="shared" si="1"/>
        <v>90.943491435551294</v>
      </c>
      <c r="O30" s="409">
        <v>94.810089881124966</v>
      </c>
      <c r="P30" s="409">
        <v>103.32309410779112</v>
      </c>
      <c r="Q30" s="409">
        <v>95.579108182946626</v>
      </c>
      <c r="R30" s="83">
        <v>99.7</v>
      </c>
      <c r="S30" s="447">
        <v>95.88647041902388</v>
      </c>
      <c r="T30" s="639"/>
    </row>
    <row r="31" spans="2:20" ht="12" hidden="1" customHeight="1">
      <c r="B31" s="252" t="s">
        <v>200</v>
      </c>
      <c r="C31" s="253" t="s">
        <v>200</v>
      </c>
      <c r="D31" s="83">
        <v>99.3</v>
      </c>
      <c r="E31" s="409">
        <v>85.375191424196018</v>
      </c>
      <c r="F31" s="409">
        <v>100.17256255392579</v>
      </c>
      <c r="G31" s="409">
        <v>76.986506746626688</v>
      </c>
      <c r="H31" s="409">
        <v>76.65030641811957</v>
      </c>
      <c r="I31" s="409">
        <v>67.89473684210526</v>
      </c>
      <c r="J31" s="81">
        <v>101.6680260134448</v>
      </c>
      <c r="K31" s="163">
        <f t="shared" si="0"/>
        <v>78.768662901304523</v>
      </c>
      <c r="L31" s="412">
        <v>97.326936257710756</v>
      </c>
      <c r="M31" s="409">
        <v>89.230489357831544</v>
      </c>
      <c r="N31" s="90">
        <f t="shared" si="1"/>
        <v>91.014408878865211</v>
      </c>
      <c r="O31" s="409">
        <v>94.906736252053747</v>
      </c>
      <c r="P31" s="409">
        <v>105.83635855906171</v>
      </c>
      <c r="Q31" s="409">
        <v>95.483624558388243</v>
      </c>
      <c r="R31" s="83">
        <v>99.3</v>
      </c>
      <c r="S31" s="447">
        <v>95.982356889442897</v>
      </c>
      <c r="T31" s="639"/>
    </row>
    <row r="32" spans="2:20" ht="12" hidden="1" customHeight="1">
      <c r="B32" s="252" t="s">
        <v>201</v>
      </c>
      <c r="C32" s="253" t="s">
        <v>201</v>
      </c>
      <c r="D32" s="83">
        <v>102</v>
      </c>
      <c r="E32" s="409">
        <v>86.370597243491574</v>
      </c>
      <c r="F32" s="409">
        <v>103.53753235547886</v>
      </c>
      <c r="G32" s="409">
        <v>78.260869565217391</v>
      </c>
      <c r="H32" s="409">
        <v>78.377687793830006</v>
      </c>
      <c r="I32" s="409">
        <v>69.473684210526315</v>
      </c>
      <c r="J32" s="81">
        <v>101.16499794314129</v>
      </c>
      <c r="K32" s="163">
        <f t="shared" si="0"/>
        <v>80.379286399021368</v>
      </c>
      <c r="L32" s="412">
        <v>97.326936257710756</v>
      </c>
      <c r="M32" s="409">
        <v>89.139530653083511</v>
      </c>
      <c r="N32" s="90">
        <f t="shared" si="1"/>
        <v>90.943491435551294</v>
      </c>
      <c r="O32" s="409">
        <v>94.036918913694791</v>
      </c>
      <c r="P32" s="409">
        <v>106.67411337615191</v>
      </c>
      <c r="Q32" s="409">
        <v>95.483624558388243</v>
      </c>
      <c r="R32" s="83">
        <v>102</v>
      </c>
      <c r="S32" s="447">
        <v>95.982356889442897</v>
      </c>
      <c r="T32" s="639"/>
    </row>
    <row r="33" spans="2:20" ht="12" hidden="1" customHeight="1">
      <c r="B33" s="252" t="s">
        <v>202</v>
      </c>
      <c r="C33" s="253" t="s">
        <v>202</v>
      </c>
      <c r="D33" s="83">
        <v>101.8</v>
      </c>
      <c r="E33" s="409">
        <v>87.978560490045936</v>
      </c>
      <c r="F33" s="409">
        <v>104.14150129421915</v>
      </c>
      <c r="G33" s="409">
        <v>77.96101949025487</v>
      </c>
      <c r="H33" s="409">
        <v>78.468308402995277</v>
      </c>
      <c r="I33" s="409">
        <v>69.93421052631578</v>
      </c>
      <c r="J33" s="81">
        <v>102.71284248380208</v>
      </c>
      <c r="K33" s="163">
        <f t="shared" si="0"/>
        <v>80.564870053476668</v>
      </c>
      <c r="L33" s="412">
        <v>97.229021834916267</v>
      </c>
      <c r="M33" s="409">
        <v>89.86720029106786</v>
      </c>
      <c r="N33" s="90">
        <f t="shared" si="1"/>
        <v>91.489257142034589</v>
      </c>
      <c r="O33" s="409">
        <v>95.003382622982514</v>
      </c>
      <c r="P33" s="409">
        <v>104.90551987340594</v>
      </c>
      <c r="Q33" s="409">
        <v>95.579108182946626</v>
      </c>
      <c r="R33" s="83">
        <v>101.8</v>
      </c>
      <c r="S33" s="447">
        <v>96.078243359861929</v>
      </c>
      <c r="T33" s="639"/>
    </row>
    <row r="34" spans="2:20" ht="12" hidden="1" customHeight="1">
      <c r="B34" s="252" t="s">
        <v>203</v>
      </c>
      <c r="C34" s="253" t="s">
        <v>203</v>
      </c>
      <c r="D34" s="83">
        <v>99.5</v>
      </c>
      <c r="E34" s="409">
        <v>88.055130168453289</v>
      </c>
      <c r="F34" s="409">
        <v>105.17687661777394</v>
      </c>
      <c r="G34" s="409">
        <v>78.785607196401784</v>
      </c>
      <c r="H34" s="409">
        <v>80.020405053221026</v>
      </c>
      <c r="I34" s="409">
        <v>71.05263157894737</v>
      </c>
      <c r="J34" s="81">
        <v>103.02639976702919</v>
      </c>
      <c r="K34" s="163">
        <f t="shared" si="0"/>
        <v>81.919844143309177</v>
      </c>
      <c r="L34" s="412">
        <v>97.229021834916267</v>
      </c>
      <c r="M34" s="409">
        <v>90.776787338548303</v>
      </c>
      <c r="N34" s="90">
        <f t="shared" si="1"/>
        <v>92.1984315751738</v>
      </c>
      <c r="O34" s="409">
        <v>96.066492703199003</v>
      </c>
      <c r="P34" s="409">
        <v>104.81243600484035</v>
      </c>
      <c r="Q34" s="409">
        <v>95.674591807505024</v>
      </c>
      <c r="R34" s="83">
        <v>99.5</v>
      </c>
      <c r="S34" s="447">
        <v>96.078243359861929</v>
      </c>
      <c r="T34" s="639"/>
    </row>
    <row r="35" spans="2:20" ht="12" hidden="1" customHeight="1">
      <c r="B35" s="252" t="s">
        <v>204</v>
      </c>
      <c r="C35" s="253" t="s">
        <v>205</v>
      </c>
      <c r="D35" s="83">
        <v>99.2</v>
      </c>
      <c r="E35" s="409">
        <v>88.820826952526801</v>
      </c>
      <c r="F35" s="409">
        <v>101.46678170836928</v>
      </c>
      <c r="G35" s="409">
        <v>78.860569715142432</v>
      </c>
      <c r="H35" s="409">
        <v>80.103529610730348</v>
      </c>
      <c r="I35" s="409">
        <v>72.631578947368425</v>
      </c>
      <c r="J35" s="81">
        <v>102.04625745808772</v>
      </c>
      <c r="K35" s="163">
        <f t="shared" si="0"/>
        <v>81.857644267901975</v>
      </c>
      <c r="L35" s="412">
        <v>97.229021834916267</v>
      </c>
      <c r="M35" s="409">
        <v>90.86774604329635</v>
      </c>
      <c r="N35" s="90">
        <f t="shared" si="1"/>
        <v>92.269349018487716</v>
      </c>
      <c r="O35" s="409">
        <v>95.196675364840061</v>
      </c>
      <c r="P35" s="409">
        <v>105.46402308479939</v>
      </c>
      <c r="Q35" s="409">
        <v>95.579108182946626</v>
      </c>
      <c r="R35" s="83">
        <v>99.2</v>
      </c>
      <c r="S35" s="447">
        <v>96.078243359861929</v>
      </c>
      <c r="T35" s="639"/>
    </row>
    <row r="36" spans="2:20" ht="12" hidden="1" customHeight="1">
      <c r="B36" s="252" t="s">
        <v>206</v>
      </c>
      <c r="C36" s="253" t="s">
        <v>206</v>
      </c>
      <c r="D36" s="83">
        <v>99.5</v>
      </c>
      <c r="E36" s="409">
        <v>88.897396630934139</v>
      </c>
      <c r="F36" s="409">
        <v>100.34512510785159</v>
      </c>
      <c r="G36" s="409">
        <v>78.635682158920545</v>
      </c>
      <c r="H36" s="409">
        <v>80.020405053221026</v>
      </c>
      <c r="I36" s="409">
        <v>73.815789473684205</v>
      </c>
      <c r="J36" s="81">
        <v>101.72200823676205</v>
      </c>
      <c r="K36" s="163">
        <f t="shared" si="0"/>
        <v>81.759038625604887</v>
      </c>
      <c r="L36" s="412">
        <v>97.131107412121793</v>
      </c>
      <c r="M36" s="409">
        <v>90.86774604329635</v>
      </c>
      <c r="N36" s="90">
        <f t="shared" si="1"/>
        <v>92.247775178459648</v>
      </c>
      <c r="O36" s="409">
        <v>95.776553590412675</v>
      </c>
      <c r="P36" s="409">
        <v>103.23001023922555</v>
      </c>
      <c r="Q36" s="409">
        <v>95.770075432063408</v>
      </c>
      <c r="R36" s="83">
        <v>99.5</v>
      </c>
      <c r="S36" s="447">
        <v>95.407038066928763</v>
      </c>
      <c r="T36" s="639"/>
    </row>
    <row r="37" spans="2:20" ht="12" hidden="1" customHeight="1">
      <c r="B37" s="252" t="s">
        <v>207</v>
      </c>
      <c r="C37" s="253" t="s">
        <v>207</v>
      </c>
      <c r="D37" s="83">
        <v>99.1</v>
      </c>
      <c r="E37" s="409">
        <v>89.127105666156197</v>
      </c>
      <c r="F37" s="409">
        <v>100.34512510785159</v>
      </c>
      <c r="G37" s="409">
        <v>78.860569715142432</v>
      </c>
      <c r="H37" s="409">
        <v>83.000264467505787</v>
      </c>
      <c r="I37" s="409">
        <v>74.473684210526315</v>
      </c>
      <c r="J37" s="81">
        <v>101.70342528985805</v>
      </c>
      <c r="K37" s="163">
        <f t="shared" si="0"/>
        <v>84.047273993685437</v>
      </c>
      <c r="L37" s="412">
        <v>97.131107412121793</v>
      </c>
      <c r="M37" s="409">
        <v>90.776787338548303</v>
      </c>
      <c r="N37" s="90">
        <f t="shared" si="1"/>
        <v>92.176857735145717</v>
      </c>
      <c r="O37" s="409">
        <v>94.230211655552338</v>
      </c>
      <c r="P37" s="409">
        <v>101.18216513078283</v>
      </c>
      <c r="Q37" s="409">
        <v>95.674591807505024</v>
      </c>
      <c r="R37" s="83">
        <v>99.1</v>
      </c>
      <c r="S37" s="447">
        <v>95.215265126090713</v>
      </c>
      <c r="T37" s="639"/>
    </row>
    <row r="38" spans="2:20" ht="12" hidden="1" customHeight="1">
      <c r="B38" s="252" t="s">
        <v>208</v>
      </c>
      <c r="C38" s="253" t="s">
        <v>208</v>
      </c>
      <c r="D38" s="83">
        <v>98.9</v>
      </c>
      <c r="E38" s="409">
        <v>88.897396630934139</v>
      </c>
      <c r="F38" s="409">
        <v>96.721311475409834</v>
      </c>
      <c r="G38" s="409">
        <v>80.209895052473755</v>
      </c>
      <c r="H38" s="409">
        <v>82.999867593755511</v>
      </c>
      <c r="I38" s="409">
        <v>75.26315789473685</v>
      </c>
      <c r="J38" s="81">
        <v>103.54438962592639</v>
      </c>
      <c r="K38" s="163">
        <f t="shared" si="0"/>
        <v>84.166890812874271</v>
      </c>
      <c r="L38" s="412">
        <v>97.131107412121793</v>
      </c>
      <c r="M38" s="409">
        <v>91.777333090776793</v>
      </c>
      <c r="N38" s="90">
        <f t="shared" si="1"/>
        <v>92.956949611598844</v>
      </c>
      <c r="O38" s="409">
        <v>92.780516091620768</v>
      </c>
      <c r="P38" s="409">
        <v>101.18216513078283</v>
      </c>
      <c r="Q38" s="409">
        <v>95.674591807505024</v>
      </c>
      <c r="R38" s="83">
        <v>98.9</v>
      </c>
      <c r="S38" s="447">
        <v>95.215265126090713</v>
      </c>
      <c r="T38" s="639"/>
    </row>
    <row r="39" spans="2:20" ht="12" hidden="1" customHeight="1">
      <c r="B39" s="254" t="s">
        <v>209</v>
      </c>
      <c r="C39" s="255" t="s">
        <v>209</v>
      </c>
      <c r="D39" s="84">
        <v>98.3</v>
      </c>
      <c r="E39" s="410">
        <v>87.442572741194482</v>
      </c>
      <c r="F39" s="410">
        <v>96.807592752372742</v>
      </c>
      <c r="G39" s="410">
        <v>81.109445277361317</v>
      </c>
      <c r="H39" s="410">
        <v>82.917810882673407</v>
      </c>
      <c r="I39" s="410">
        <v>75.723684210526315</v>
      </c>
      <c r="J39" s="82">
        <v>106.15699093930442</v>
      </c>
      <c r="K39" s="163">
        <f t="shared" si="0"/>
        <v>84.347816744418509</v>
      </c>
      <c r="L39" s="412">
        <v>97.131107412121793</v>
      </c>
      <c r="M39" s="409">
        <v>91.959250500272873</v>
      </c>
      <c r="N39" s="90">
        <f t="shared" si="1"/>
        <v>93.098784498226692</v>
      </c>
      <c r="O39" s="409">
        <v>93.070455204407082</v>
      </c>
      <c r="P39" s="410">
        <v>102.11300381643861</v>
      </c>
      <c r="Q39" s="410">
        <v>95.770075432063408</v>
      </c>
      <c r="R39" s="84">
        <v>98.3</v>
      </c>
      <c r="S39" s="448">
        <v>95.215265126090713</v>
      </c>
      <c r="T39" s="639"/>
    </row>
    <row r="40" spans="2:20" ht="12" hidden="1" customHeight="1">
      <c r="B40" s="256" t="s">
        <v>240</v>
      </c>
      <c r="C40" s="257" t="s">
        <v>243</v>
      </c>
      <c r="D40" s="85">
        <v>98.5</v>
      </c>
      <c r="E40" s="408">
        <v>87.289433384379777</v>
      </c>
      <c r="F40" s="408">
        <v>93.701466781708362</v>
      </c>
      <c r="G40" s="408">
        <v>81.334332833583204</v>
      </c>
      <c r="H40" s="408">
        <v>83.709706744680489</v>
      </c>
      <c r="I40" s="408">
        <v>75.85526315789474</v>
      </c>
      <c r="J40" s="80">
        <v>107.0035825060897</v>
      </c>
      <c r="K40" s="319">
        <f t="shared" si="0"/>
        <v>84.88869784591293</v>
      </c>
      <c r="L40" s="411">
        <v>97.033192989327318</v>
      </c>
      <c r="M40" s="408">
        <v>92.323085319265061</v>
      </c>
      <c r="N40" s="91">
        <f t="shared" si="1"/>
        <v>93.360880431454305</v>
      </c>
      <c r="O40" s="408">
        <v>92.780516091620768</v>
      </c>
      <c r="P40" s="408">
        <v>102.67150702783206</v>
      </c>
      <c r="Q40" s="408">
        <v>95.865559056621805</v>
      </c>
      <c r="R40" s="85">
        <v>98.5</v>
      </c>
      <c r="S40" s="446">
        <v>95.311151596509745</v>
      </c>
      <c r="T40" s="639"/>
    </row>
    <row r="41" spans="2:20" ht="12" hidden="1" customHeight="1">
      <c r="B41" s="252" t="s">
        <v>198</v>
      </c>
      <c r="C41" s="253" t="s">
        <v>198</v>
      </c>
      <c r="D41" s="83">
        <v>98</v>
      </c>
      <c r="E41" s="409">
        <v>84.686064318529858</v>
      </c>
      <c r="F41" s="409">
        <v>93.442622950819668</v>
      </c>
      <c r="G41" s="409">
        <v>82.458770614692654</v>
      </c>
      <c r="H41" s="409">
        <v>83.550674320177706</v>
      </c>
      <c r="I41" s="409">
        <v>76.118421052631575</v>
      </c>
      <c r="J41" s="81">
        <v>107.80983714362908</v>
      </c>
      <c r="K41" s="163">
        <f t="shared" si="0"/>
        <v>84.898942780306953</v>
      </c>
      <c r="L41" s="412">
        <v>97.033192989327318</v>
      </c>
      <c r="M41" s="409">
        <v>92.323085319265061</v>
      </c>
      <c r="N41" s="90">
        <f t="shared" si="1"/>
        <v>93.360880431454305</v>
      </c>
      <c r="O41" s="409">
        <v>92.973808833478316</v>
      </c>
      <c r="P41" s="409">
        <v>103.13692637065996</v>
      </c>
      <c r="Q41" s="409">
        <v>95.865559056621805</v>
      </c>
      <c r="R41" s="83">
        <v>98</v>
      </c>
      <c r="S41" s="447">
        <v>95.407038066928763</v>
      </c>
      <c r="T41" s="639"/>
    </row>
    <row r="42" spans="2:20" ht="12" hidden="1" customHeight="1">
      <c r="B42" s="252" t="s">
        <v>199</v>
      </c>
      <c r="C42" s="253" t="s">
        <v>199</v>
      </c>
      <c r="D42" s="83">
        <v>97.7</v>
      </c>
      <c r="E42" s="409">
        <v>83.920367534456346</v>
      </c>
      <c r="F42" s="409">
        <v>94.391716997411564</v>
      </c>
      <c r="G42" s="409">
        <v>82.833583208395794</v>
      </c>
      <c r="H42" s="409">
        <v>83.630467382062648</v>
      </c>
      <c r="I42" s="409">
        <v>76.381578947368411</v>
      </c>
      <c r="J42" s="81">
        <v>114.3420244427773</v>
      </c>
      <c r="K42" s="163">
        <f t="shared" si="0"/>
        <v>85.401602771455103</v>
      </c>
      <c r="L42" s="412">
        <v>97.033192989327318</v>
      </c>
      <c r="M42" s="409">
        <v>92.323085319265061</v>
      </c>
      <c r="N42" s="90">
        <f t="shared" si="1"/>
        <v>93.360880431454305</v>
      </c>
      <c r="O42" s="409">
        <v>93.55368705905093</v>
      </c>
      <c r="P42" s="409">
        <v>108.25653914176672</v>
      </c>
      <c r="Q42" s="409">
        <v>96.056526305738572</v>
      </c>
      <c r="R42" s="83">
        <v>97.7</v>
      </c>
      <c r="S42" s="447">
        <v>95.407038066928763</v>
      </c>
      <c r="T42" s="639"/>
    </row>
    <row r="43" spans="2:20" ht="12" hidden="1" customHeight="1">
      <c r="B43" s="252" t="s">
        <v>200</v>
      </c>
      <c r="C43" s="253" t="s">
        <v>200</v>
      </c>
      <c r="D43" s="83">
        <v>97.7</v>
      </c>
      <c r="E43" s="409">
        <v>83.231240428790201</v>
      </c>
      <c r="F43" s="409">
        <v>98.015530629853316</v>
      </c>
      <c r="G43" s="409">
        <v>85.082458770614693</v>
      </c>
      <c r="H43" s="409">
        <v>84.8983578667507</v>
      </c>
      <c r="I43" s="409">
        <v>78.68421052631578</v>
      </c>
      <c r="J43" s="81">
        <v>116.66542021286288</v>
      </c>
      <c r="K43" s="163">
        <f t="shared" si="0"/>
        <v>86.944793960792907</v>
      </c>
      <c r="L43" s="412">
        <v>97.033192989327318</v>
      </c>
      <c r="M43" s="409">
        <v>92.595961433509189</v>
      </c>
      <c r="N43" s="90">
        <f t="shared" si="1"/>
        <v>93.57363276139607</v>
      </c>
      <c r="O43" s="409">
        <v>93.167101575335849</v>
      </c>
      <c r="P43" s="409">
        <v>110.39746811877501</v>
      </c>
      <c r="Q43" s="409">
        <v>96.342977179413751</v>
      </c>
      <c r="R43" s="83">
        <v>97.7</v>
      </c>
      <c r="S43" s="447">
        <v>95.407038066928763</v>
      </c>
      <c r="T43" s="639"/>
    </row>
    <row r="44" spans="2:20" ht="12" hidden="1" customHeight="1">
      <c r="B44" s="252" t="s">
        <v>201</v>
      </c>
      <c r="C44" s="253" t="s">
        <v>201</v>
      </c>
      <c r="D44" s="83">
        <v>98.4</v>
      </c>
      <c r="E44" s="409">
        <v>83.231240428790201</v>
      </c>
      <c r="F44" s="409">
        <v>98.792062122519411</v>
      </c>
      <c r="G44" s="409">
        <v>85.30734632683658</v>
      </c>
      <c r="H44" s="409">
        <v>84.97748925482415</v>
      </c>
      <c r="I44" s="409">
        <v>79.21052631578948</v>
      </c>
      <c r="J44" s="81">
        <v>114.37468119857641</v>
      </c>
      <c r="K44" s="163">
        <f t="shared" si="0"/>
        <v>86.952884326123794</v>
      </c>
      <c r="L44" s="412">
        <v>97.033192989327318</v>
      </c>
      <c r="M44" s="409">
        <v>92.686920138257236</v>
      </c>
      <c r="N44" s="90">
        <f t="shared" si="1"/>
        <v>93.644550204709986</v>
      </c>
      <c r="O44" s="409">
        <v>91.814052382333045</v>
      </c>
      <c r="P44" s="409">
        <v>108.25653914176672</v>
      </c>
      <c r="Q44" s="409">
        <v>96.629428053088901</v>
      </c>
      <c r="R44" s="83">
        <v>98.4</v>
      </c>
      <c r="S44" s="447">
        <v>95.598811007766813</v>
      </c>
      <c r="T44" s="639"/>
    </row>
    <row r="45" spans="2:20" ht="12" hidden="1" customHeight="1">
      <c r="B45" s="252" t="s">
        <v>202</v>
      </c>
      <c r="C45" s="253" t="s">
        <v>244</v>
      </c>
      <c r="D45" s="83">
        <v>98</v>
      </c>
      <c r="E45" s="409">
        <v>83.231240428790201</v>
      </c>
      <c r="F45" s="409">
        <v>96.11734253666954</v>
      </c>
      <c r="G45" s="409">
        <v>84.857571214392806</v>
      </c>
      <c r="H45" s="409">
        <v>85.057157911193471</v>
      </c>
      <c r="I45" s="409">
        <v>78.68421052631578</v>
      </c>
      <c r="J45" s="81">
        <v>112.26618089234644</v>
      </c>
      <c r="K45" s="163">
        <f t="shared" si="0"/>
        <v>86.718859583388152</v>
      </c>
      <c r="L45" s="412">
        <v>96.935278566532844</v>
      </c>
      <c r="M45" s="409">
        <v>92.595961433509189</v>
      </c>
      <c r="N45" s="90">
        <f t="shared" si="1"/>
        <v>93.552058921367987</v>
      </c>
      <c r="O45" s="409">
        <v>93.457040688122163</v>
      </c>
      <c r="P45" s="409">
        <v>103.69542958205344</v>
      </c>
      <c r="Q45" s="409">
        <v>96.724911677647285</v>
      </c>
      <c r="R45" s="83">
        <v>98</v>
      </c>
      <c r="S45" s="447">
        <v>95.502924537347781</v>
      </c>
      <c r="T45" s="639"/>
    </row>
    <row r="46" spans="2:20" ht="12" hidden="1" customHeight="1">
      <c r="B46" s="252" t="s">
        <v>203</v>
      </c>
      <c r="C46" s="253" t="s">
        <v>203</v>
      </c>
      <c r="D46" s="83">
        <v>97.9</v>
      </c>
      <c r="E46" s="409">
        <v>83.384379785604906</v>
      </c>
      <c r="F46" s="409">
        <v>94.046591889559963</v>
      </c>
      <c r="G46" s="409">
        <v>84.332833583208398</v>
      </c>
      <c r="H46" s="409">
        <v>85.684923885018833</v>
      </c>
      <c r="I46" s="409">
        <v>78.223684210526315</v>
      </c>
      <c r="J46" s="81">
        <v>113.31993687988833</v>
      </c>
      <c r="K46" s="163">
        <f t="shared" si="0"/>
        <v>87.093950509185831</v>
      </c>
      <c r="L46" s="412">
        <v>97.033192989327318</v>
      </c>
      <c r="M46" s="409">
        <v>92.595961433509189</v>
      </c>
      <c r="N46" s="90">
        <f t="shared" si="1"/>
        <v>93.57363276139607</v>
      </c>
      <c r="O46" s="409">
        <v>94.326858026481105</v>
      </c>
      <c r="P46" s="409">
        <v>101.83375221074188</v>
      </c>
      <c r="Q46" s="409">
        <v>96.724911677647285</v>
      </c>
      <c r="R46" s="83">
        <v>97.9</v>
      </c>
      <c r="S46" s="447">
        <v>95.69469747818583</v>
      </c>
      <c r="T46" s="639"/>
    </row>
    <row r="47" spans="2:20" ht="12" hidden="1" customHeight="1">
      <c r="B47" s="252" t="s">
        <v>204</v>
      </c>
      <c r="C47" s="253" t="s">
        <v>204</v>
      </c>
      <c r="D47" s="83">
        <v>97.6</v>
      </c>
      <c r="E47" s="409">
        <v>86.294027565084221</v>
      </c>
      <c r="F47" s="409">
        <v>99.050905953408105</v>
      </c>
      <c r="G47" s="409">
        <v>84.332833583208398</v>
      </c>
      <c r="H47" s="409">
        <v>85.764965684197492</v>
      </c>
      <c r="I47" s="409">
        <v>78.28947368421052</v>
      </c>
      <c r="J47" s="81">
        <v>111.63153558531806</v>
      </c>
      <c r="K47" s="163">
        <f t="shared" si="0"/>
        <v>87.299076790276914</v>
      </c>
      <c r="L47" s="412">
        <v>97.033192989327318</v>
      </c>
      <c r="M47" s="409">
        <v>92.505002728761156</v>
      </c>
      <c r="N47" s="90">
        <f t="shared" si="1"/>
        <v>93.502715318082153</v>
      </c>
      <c r="O47" s="409">
        <v>94.036918913694791</v>
      </c>
      <c r="P47" s="409">
        <v>102.85767476496324</v>
      </c>
      <c r="Q47" s="409">
        <v>96.820395302205682</v>
      </c>
      <c r="R47" s="83">
        <v>97.6</v>
      </c>
      <c r="S47" s="447">
        <v>95.69469747818583</v>
      </c>
      <c r="T47" s="639"/>
    </row>
    <row r="48" spans="2:20" ht="12" hidden="1" customHeight="1">
      <c r="B48" s="252" t="s">
        <v>206</v>
      </c>
      <c r="C48" s="253" t="s">
        <v>206</v>
      </c>
      <c r="D48" s="83">
        <v>98</v>
      </c>
      <c r="E48" s="409">
        <v>86.523736600306279</v>
      </c>
      <c r="F48" s="409">
        <v>106.29853321829162</v>
      </c>
      <c r="G48" s="409">
        <v>84.107946026986511</v>
      </c>
      <c r="H48" s="409">
        <v>85.924935015610686</v>
      </c>
      <c r="I48" s="409">
        <v>78.026315789473685</v>
      </c>
      <c r="J48" s="81">
        <v>109.85342402030345</v>
      </c>
      <c r="K48" s="163">
        <f t="shared" si="0"/>
        <v>87.585557460176389</v>
      </c>
      <c r="L48" s="412">
        <v>97.033192989327318</v>
      </c>
      <c r="M48" s="409">
        <v>92.505002728761156</v>
      </c>
      <c r="N48" s="90">
        <f t="shared" si="1"/>
        <v>93.502715318082153</v>
      </c>
      <c r="O48" s="409">
        <v>94.230211655552338</v>
      </c>
      <c r="P48" s="409">
        <v>106.02252629619286</v>
      </c>
      <c r="Q48" s="409">
        <v>96.915878926764066</v>
      </c>
      <c r="R48" s="83">
        <v>98</v>
      </c>
      <c r="S48" s="447">
        <v>95.502924537347781</v>
      </c>
      <c r="T48" s="639"/>
    </row>
    <row r="49" spans="2:20" ht="12" hidden="1" customHeight="1">
      <c r="B49" s="252" t="s">
        <v>207</v>
      </c>
      <c r="C49" s="253" t="s">
        <v>207</v>
      </c>
      <c r="D49" s="83">
        <v>97.8</v>
      </c>
      <c r="E49" s="409">
        <v>86.600306278713617</v>
      </c>
      <c r="F49" s="409">
        <v>106.38481449525453</v>
      </c>
      <c r="G49" s="409">
        <v>84.032983508245863</v>
      </c>
      <c r="H49" s="409">
        <v>84.293856944626739</v>
      </c>
      <c r="I49" s="409">
        <v>77.89473684210526</v>
      </c>
      <c r="J49" s="81">
        <v>110.74045115435194</v>
      </c>
      <c r="K49" s="163">
        <f t="shared" si="0"/>
        <v>86.401966873639012</v>
      </c>
      <c r="L49" s="412">
        <v>97.033192989327318</v>
      </c>
      <c r="M49" s="409">
        <v>92.595961433509189</v>
      </c>
      <c r="N49" s="90">
        <f t="shared" si="1"/>
        <v>93.57363276139607</v>
      </c>
      <c r="O49" s="409">
        <v>93.940272542766024</v>
      </c>
      <c r="P49" s="409">
        <v>105.09168761053709</v>
      </c>
      <c r="Q49" s="409">
        <v>97.011362551322449</v>
      </c>
      <c r="R49" s="83">
        <v>97.8</v>
      </c>
      <c r="S49" s="447">
        <v>95.69469747818583</v>
      </c>
      <c r="T49" s="639"/>
    </row>
    <row r="50" spans="2:20" ht="12" hidden="1" customHeight="1">
      <c r="B50" s="252" t="s">
        <v>208</v>
      </c>
      <c r="C50" s="253" t="s">
        <v>235</v>
      </c>
      <c r="D50" s="83">
        <v>96.9</v>
      </c>
      <c r="E50" s="409">
        <v>86.294027565084221</v>
      </c>
      <c r="F50" s="409">
        <v>102.41587575496118</v>
      </c>
      <c r="G50" s="409">
        <v>83.883058470764624</v>
      </c>
      <c r="H50" s="409">
        <v>84.381644981912444</v>
      </c>
      <c r="I50" s="409">
        <v>77.89473684210526</v>
      </c>
      <c r="J50" s="81">
        <v>115.1616732401133</v>
      </c>
      <c r="K50" s="163">
        <f t="shared" si="0"/>
        <v>86.533380887483631</v>
      </c>
      <c r="L50" s="412">
        <v>97.033192989327318</v>
      </c>
      <c r="M50" s="409">
        <v>92.414044024013094</v>
      </c>
      <c r="N50" s="90">
        <f t="shared" si="1"/>
        <v>93.431797874768222</v>
      </c>
      <c r="O50" s="409">
        <v>93.940272542766024</v>
      </c>
      <c r="P50" s="409">
        <v>104.25393279344689</v>
      </c>
      <c r="Q50" s="409">
        <v>97.106846175880847</v>
      </c>
      <c r="R50" s="83">
        <v>96.9</v>
      </c>
      <c r="S50" s="447">
        <v>95.502924537347781</v>
      </c>
      <c r="T50" s="639"/>
    </row>
    <row r="51" spans="2:20" ht="12" hidden="1" customHeight="1">
      <c r="B51" s="254" t="s">
        <v>209</v>
      </c>
      <c r="C51" s="255" t="s">
        <v>209</v>
      </c>
      <c r="D51" s="84">
        <v>96.6</v>
      </c>
      <c r="E51" s="410">
        <v>87.059724349157733</v>
      </c>
      <c r="F51" s="410">
        <v>103.10612597066437</v>
      </c>
      <c r="G51" s="410">
        <v>85.007496251874059</v>
      </c>
      <c r="H51" s="410">
        <v>84.467218131821781</v>
      </c>
      <c r="I51" s="410">
        <v>78.75</v>
      </c>
      <c r="J51" s="82">
        <v>119.88094729968699</v>
      </c>
      <c r="K51" s="320">
        <f t="shared" si="0"/>
        <v>87.045295728011936</v>
      </c>
      <c r="L51" s="413">
        <v>97.033192989327318</v>
      </c>
      <c r="M51" s="410">
        <v>92.323085319265061</v>
      </c>
      <c r="N51" s="92">
        <f t="shared" si="1"/>
        <v>93.360880431454305</v>
      </c>
      <c r="O51" s="410">
        <v>93.457040688122163</v>
      </c>
      <c r="P51" s="410">
        <v>105.27785534766824</v>
      </c>
      <c r="Q51" s="410">
        <v>97.106846175880847</v>
      </c>
      <c r="R51" s="84">
        <v>96.6</v>
      </c>
      <c r="S51" s="448">
        <v>95.790583948604862</v>
      </c>
      <c r="T51" s="639"/>
    </row>
    <row r="52" spans="2:20" ht="12" hidden="1" customHeight="1">
      <c r="B52" s="256" t="s">
        <v>245</v>
      </c>
      <c r="C52" s="257" t="s">
        <v>246</v>
      </c>
      <c r="D52" s="85">
        <v>96.8</v>
      </c>
      <c r="E52" s="408">
        <v>87.366003062787129</v>
      </c>
      <c r="F52" s="408">
        <v>105.17687661777394</v>
      </c>
      <c r="G52" s="408">
        <v>86.731634182908536</v>
      </c>
      <c r="H52" s="408">
        <v>86.296816858485627</v>
      </c>
      <c r="I52" s="408">
        <v>80.19736842105263</v>
      </c>
      <c r="J52" s="80">
        <v>126.36087093466219</v>
      </c>
      <c r="K52" s="163">
        <f t="shared" si="0"/>
        <v>89.100630582968591</v>
      </c>
      <c r="L52" s="412">
        <v>97.131107412121793</v>
      </c>
      <c r="M52" s="409">
        <v>92.505002728761156</v>
      </c>
      <c r="N52" s="90">
        <f t="shared" si="1"/>
        <v>93.524289158110236</v>
      </c>
      <c r="O52" s="409">
        <v>93.457040688122163</v>
      </c>
      <c r="P52" s="408">
        <v>107.23261658754538</v>
      </c>
      <c r="Q52" s="408">
        <v>97.20232980043923</v>
      </c>
      <c r="R52" s="85">
        <v>96.8</v>
      </c>
      <c r="S52" s="446">
        <v>95.982356889442897</v>
      </c>
      <c r="T52" s="639"/>
    </row>
    <row r="53" spans="2:20" ht="12" hidden="1" customHeight="1">
      <c r="B53" s="252" t="s">
        <v>198</v>
      </c>
      <c r="C53" s="253" t="s">
        <v>198</v>
      </c>
      <c r="D53" s="83">
        <v>96.6</v>
      </c>
      <c r="E53" s="409">
        <v>90.275650842266458</v>
      </c>
      <c r="F53" s="409">
        <v>105.26315789473684</v>
      </c>
      <c r="G53" s="409">
        <v>88.60569715142428</v>
      </c>
      <c r="H53" s="409">
        <v>86.296816858485627</v>
      </c>
      <c r="I53" s="409">
        <v>82.43421052631578</v>
      </c>
      <c r="J53" s="81">
        <v>133.26957250992751</v>
      </c>
      <c r="K53" s="163">
        <f t="shared" si="0"/>
        <v>89.801588252330234</v>
      </c>
      <c r="L53" s="412">
        <v>97.033192989327318</v>
      </c>
      <c r="M53" s="409">
        <v>92.505002728761156</v>
      </c>
      <c r="N53" s="90">
        <f t="shared" si="1"/>
        <v>93.502715318082153</v>
      </c>
      <c r="O53" s="409">
        <v>93.457040688122163</v>
      </c>
      <c r="P53" s="409">
        <v>110.39746811877501</v>
      </c>
      <c r="Q53" s="409">
        <v>97.20232980043923</v>
      </c>
      <c r="R53" s="83">
        <v>96.6</v>
      </c>
      <c r="S53" s="447">
        <v>95.88647041902388</v>
      </c>
      <c r="T53" s="639"/>
    </row>
    <row r="54" spans="2:20" ht="12" hidden="1" customHeight="1">
      <c r="B54" s="252" t="s">
        <v>242</v>
      </c>
      <c r="C54" s="253" t="s">
        <v>242</v>
      </c>
      <c r="D54" s="83">
        <v>96.6</v>
      </c>
      <c r="E54" s="409">
        <v>90.658499234303221</v>
      </c>
      <c r="F54" s="409">
        <v>109.40465918895599</v>
      </c>
      <c r="G54" s="409">
        <v>90.629685157421292</v>
      </c>
      <c r="H54" s="409">
        <v>86.296816858485627</v>
      </c>
      <c r="I54" s="409">
        <v>84.21052631578948</v>
      </c>
      <c r="J54" s="81">
        <v>137.09010189553149</v>
      </c>
      <c r="K54" s="163">
        <f t="shared" si="0"/>
        <v>90.46476234255492</v>
      </c>
      <c r="L54" s="412">
        <v>97.131107412121793</v>
      </c>
      <c r="M54" s="409">
        <v>92.505002728761156</v>
      </c>
      <c r="N54" s="90">
        <f t="shared" si="1"/>
        <v>93.524289158110236</v>
      </c>
      <c r="O54" s="409">
        <v>92.490576978834454</v>
      </c>
      <c r="P54" s="409">
        <v>111.14213906729964</v>
      </c>
      <c r="Q54" s="409">
        <v>97.106846175880847</v>
      </c>
      <c r="R54" s="83">
        <v>96.6</v>
      </c>
      <c r="S54" s="447">
        <v>95.88647041902388</v>
      </c>
      <c r="T54" s="639"/>
    </row>
    <row r="55" spans="2:20" ht="12" hidden="1" customHeight="1">
      <c r="B55" s="252" t="s">
        <v>200</v>
      </c>
      <c r="C55" s="253" t="s">
        <v>200</v>
      </c>
      <c r="D55" s="83">
        <v>96.3</v>
      </c>
      <c r="E55" s="409">
        <v>92.036753445635526</v>
      </c>
      <c r="F55" s="409">
        <v>112.51078515962037</v>
      </c>
      <c r="G55" s="409">
        <v>91.829085457271361</v>
      </c>
      <c r="H55" s="409">
        <v>89.000769000387052</v>
      </c>
      <c r="I55" s="409">
        <v>84.868421052631575</v>
      </c>
      <c r="J55" s="81">
        <v>139.57561774652405</v>
      </c>
      <c r="K55" s="163">
        <f t="shared" si="0"/>
        <v>92.922483754619876</v>
      </c>
      <c r="L55" s="412">
        <v>97.131107412121793</v>
      </c>
      <c r="M55" s="409">
        <v>92.595961433509189</v>
      </c>
      <c r="N55" s="90">
        <f t="shared" si="1"/>
        <v>93.595206601424152</v>
      </c>
      <c r="O55" s="409">
        <v>92.393930607905673</v>
      </c>
      <c r="P55" s="409">
        <v>110.67671972447175</v>
      </c>
      <c r="Q55" s="409">
        <v>96.820395302205682</v>
      </c>
      <c r="R55" s="83">
        <v>96.3</v>
      </c>
      <c r="S55" s="447">
        <v>95.982356889442897</v>
      </c>
      <c r="T55" s="639"/>
    </row>
    <row r="56" spans="2:20" ht="12" hidden="1" customHeight="1">
      <c r="B56" s="252" t="s">
        <v>201</v>
      </c>
      <c r="C56" s="253" t="s">
        <v>201</v>
      </c>
      <c r="D56" s="83">
        <v>96.8</v>
      </c>
      <c r="E56" s="409">
        <v>92.419601837672275</v>
      </c>
      <c r="F56" s="409">
        <v>111.73425366695427</v>
      </c>
      <c r="G56" s="409">
        <v>93.103448275862064</v>
      </c>
      <c r="H56" s="409">
        <v>89.60656743040019</v>
      </c>
      <c r="I56" s="409">
        <v>86.578947368421055</v>
      </c>
      <c r="J56" s="81">
        <v>145.63155091107052</v>
      </c>
      <c r="K56" s="163">
        <f t="shared" si="0"/>
        <v>93.885884741618824</v>
      </c>
      <c r="L56" s="412">
        <v>97.229021834916267</v>
      </c>
      <c r="M56" s="409">
        <v>92.595961433509189</v>
      </c>
      <c r="N56" s="90">
        <f t="shared" si="1"/>
        <v>93.616780441452221</v>
      </c>
      <c r="O56" s="409">
        <v>90.944235043974103</v>
      </c>
      <c r="P56" s="409">
        <v>109.74588103881598</v>
      </c>
      <c r="Q56" s="409">
        <v>96.820395302205682</v>
      </c>
      <c r="R56" s="83">
        <v>96.8</v>
      </c>
      <c r="S56" s="447">
        <v>95.982356889442897</v>
      </c>
      <c r="T56" s="639"/>
    </row>
    <row r="57" spans="2:20" ht="12" hidden="1" customHeight="1">
      <c r="B57" s="252" t="s">
        <v>202</v>
      </c>
      <c r="C57" s="253" t="s">
        <v>202</v>
      </c>
      <c r="D57" s="83">
        <v>97.3</v>
      </c>
      <c r="E57" s="409">
        <v>97.013782542113319</v>
      </c>
      <c r="F57" s="409">
        <v>111.99309749784298</v>
      </c>
      <c r="G57" s="409">
        <v>94.752623688155921</v>
      </c>
      <c r="H57" s="409">
        <v>89.604520266401451</v>
      </c>
      <c r="I57" s="409">
        <v>87.960526315789465</v>
      </c>
      <c r="J57" s="81">
        <v>144.17551910882605</v>
      </c>
      <c r="K57" s="163">
        <f t="shared" si="0"/>
        <v>94.086673439886368</v>
      </c>
      <c r="L57" s="412">
        <v>97.229021834916267</v>
      </c>
      <c r="M57" s="409">
        <v>93.778424595233759</v>
      </c>
      <c r="N57" s="90">
        <f t="shared" si="1"/>
        <v>94.538707204533196</v>
      </c>
      <c r="O57" s="409">
        <v>90.557649560259023</v>
      </c>
      <c r="P57" s="409">
        <v>109.65279717025039</v>
      </c>
      <c r="Q57" s="409">
        <v>96.820395302205682</v>
      </c>
      <c r="R57" s="83">
        <v>97.3</v>
      </c>
      <c r="S57" s="447">
        <v>95.982356889442897</v>
      </c>
      <c r="T57" s="639"/>
    </row>
    <row r="58" spans="2:20" ht="12" hidden="1" customHeight="1">
      <c r="B58" s="252" t="s">
        <v>203</v>
      </c>
      <c r="C58" s="253" t="s">
        <v>203</v>
      </c>
      <c r="D58" s="83">
        <v>97.2</v>
      </c>
      <c r="E58" s="409">
        <v>97.396630934150082</v>
      </c>
      <c r="F58" s="409">
        <v>116.22088006902501</v>
      </c>
      <c r="G58" s="409">
        <v>93.628185907046472</v>
      </c>
      <c r="H58" s="409">
        <v>93.211713037265582</v>
      </c>
      <c r="I58" s="409">
        <v>86.513157894736835</v>
      </c>
      <c r="J58" s="81">
        <v>138.24483026193602</v>
      </c>
      <c r="K58" s="163">
        <f t="shared" si="0"/>
        <v>96.468152974446298</v>
      </c>
      <c r="L58" s="412">
        <v>97.229021834916267</v>
      </c>
      <c r="M58" s="409">
        <v>95.142805166454437</v>
      </c>
      <c r="N58" s="90">
        <f t="shared" si="1"/>
        <v>95.602468854242034</v>
      </c>
      <c r="O58" s="409">
        <v>92.20063786604814</v>
      </c>
      <c r="P58" s="409">
        <v>111.32830680443078</v>
      </c>
      <c r="Q58" s="409">
        <v>96.915878926764066</v>
      </c>
      <c r="R58" s="83">
        <v>97.2</v>
      </c>
      <c r="S58" s="447">
        <v>95.982356889442897</v>
      </c>
      <c r="T58" s="639"/>
    </row>
    <row r="59" spans="2:20" ht="12" hidden="1" customHeight="1">
      <c r="B59" s="252" t="s">
        <v>204</v>
      </c>
      <c r="C59" s="253" t="s">
        <v>204</v>
      </c>
      <c r="D59" s="83">
        <v>97.2</v>
      </c>
      <c r="E59" s="409">
        <v>98.928024502297077</v>
      </c>
      <c r="F59" s="409">
        <v>115.18550474547023</v>
      </c>
      <c r="G59" s="409">
        <v>94.15292353823088</v>
      </c>
      <c r="H59" s="409">
        <v>93.213380113641193</v>
      </c>
      <c r="I59" s="409">
        <v>87.10526315789474</v>
      </c>
      <c r="J59" s="81">
        <v>134.17012934278679</v>
      </c>
      <c r="K59" s="163">
        <f t="shared" si="0"/>
        <v>96.294084754672468</v>
      </c>
      <c r="L59" s="412">
        <v>97.326936257710756</v>
      </c>
      <c r="M59" s="409">
        <v>95.597598690194658</v>
      </c>
      <c r="N59" s="90">
        <f t="shared" si="1"/>
        <v>95.9786299108397</v>
      </c>
      <c r="O59" s="409">
        <v>92.683869720692002</v>
      </c>
      <c r="P59" s="409">
        <v>113.3761519128735</v>
      </c>
      <c r="Q59" s="409">
        <v>97.011362551322449</v>
      </c>
      <c r="R59" s="83">
        <v>97.2</v>
      </c>
      <c r="S59" s="447">
        <v>95.982356889442897</v>
      </c>
      <c r="T59" s="639"/>
    </row>
    <row r="60" spans="2:20" ht="12" hidden="1" customHeight="1">
      <c r="B60" s="252" t="s">
        <v>206</v>
      </c>
      <c r="C60" s="253" t="s">
        <v>206</v>
      </c>
      <c r="D60" s="83">
        <v>97</v>
      </c>
      <c r="E60" s="409">
        <v>98.698315467075034</v>
      </c>
      <c r="F60" s="409">
        <v>106.90250215703193</v>
      </c>
      <c r="G60" s="409">
        <v>93.328335832083951</v>
      </c>
      <c r="H60" s="409">
        <v>93.210045045542628</v>
      </c>
      <c r="I60" s="409">
        <v>86.84210526315789</v>
      </c>
      <c r="J60" s="81">
        <v>132.6074336117652</v>
      </c>
      <c r="K60" s="163">
        <f t="shared" si="0"/>
        <v>95.769706167553394</v>
      </c>
      <c r="L60" s="412">
        <v>97.42485068050523</v>
      </c>
      <c r="M60" s="409">
        <v>95.779516099690738</v>
      </c>
      <c r="N60" s="90">
        <f t="shared" si="1"/>
        <v>96.142038637495617</v>
      </c>
      <c r="O60" s="409">
        <v>92.490576978834454</v>
      </c>
      <c r="P60" s="409">
        <v>114.30699059852927</v>
      </c>
      <c r="Q60" s="409">
        <v>97.011362551322449</v>
      </c>
      <c r="R60" s="83">
        <v>97</v>
      </c>
      <c r="S60" s="447">
        <v>96.365902771118996</v>
      </c>
      <c r="T60" s="639"/>
    </row>
    <row r="61" spans="2:20" ht="12" hidden="1" customHeight="1">
      <c r="B61" s="252" t="s">
        <v>207</v>
      </c>
      <c r="C61" s="253" t="s">
        <v>247</v>
      </c>
      <c r="D61" s="83">
        <v>97.2</v>
      </c>
      <c r="E61" s="409">
        <v>97.47320061255742</v>
      </c>
      <c r="F61" s="409">
        <v>102.58843830888698</v>
      </c>
      <c r="G61" s="409">
        <v>93.478260869565219</v>
      </c>
      <c r="H61" s="409">
        <v>96.535989211050079</v>
      </c>
      <c r="I61" s="409">
        <v>85.723684210526329</v>
      </c>
      <c r="J61" s="81">
        <v>131.99720400570567</v>
      </c>
      <c r="K61" s="163">
        <f t="shared" si="0"/>
        <v>98.010878402734249</v>
      </c>
      <c r="L61" s="412">
        <v>97.42485068050523</v>
      </c>
      <c r="M61" s="409">
        <v>95.8704748044388</v>
      </c>
      <c r="N61" s="90">
        <f t="shared" si="1"/>
        <v>96.212956080809548</v>
      </c>
      <c r="O61" s="409">
        <v>92.20063786604814</v>
      </c>
      <c r="P61" s="409">
        <v>113.56231965000465</v>
      </c>
      <c r="Q61" s="409">
        <v>97.011362551322449</v>
      </c>
      <c r="R61" s="83">
        <v>97.2</v>
      </c>
      <c r="S61" s="447">
        <v>96.270016300699979</v>
      </c>
      <c r="T61" s="639"/>
    </row>
    <row r="62" spans="2:20" ht="12" hidden="1" customHeight="1">
      <c r="B62" s="252" t="s">
        <v>208</v>
      </c>
      <c r="C62" s="253" t="s">
        <v>208</v>
      </c>
      <c r="D62" s="83">
        <v>96.5</v>
      </c>
      <c r="E62" s="409">
        <v>97.47320061255742</v>
      </c>
      <c r="F62" s="409">
        <v>98.188093183779117</v>
      </c>
      <c r="G62" s="409">
        <v>93.403298350824585</v>
      </c>
      <c r="H62" s="409">
        <v>96.375740521789055</v>
      </c>
      <c r="I62" s="409">
        <v>85.46052631578948</v>
      </c>
      <c r="J62" s="81">
        <v>130.79794859616686</v>
      </c>
      <c r="K62" s="163">
        <f t="shared" si="0"/>
        <v>97.625344497843344</v>
      </c>
      <c r="L62" s="412">
        <v>97.42485068050523</v>
      </c>
      <c r="M62" s="409">
        <v>95.8704748044388</v>
      </c>
      <c r="N62" s="90">
        <f t="shared" si="1"/>
        <v>96.212956080809548</v>
      </c>
      <c r="O62" s="409">
        <v>94.230211655552338</v>
      </c>
      <c r="P62" s="409">
        <v>113.93465512426697</v>
      </c>
      <c r="Q62" s="409">
        <v>97.011362551322449</v>
      </c>
      <c r="R62" s="83">
        <v>96.5</v>
      </c>
      <c r="S62" s="447">
        <v>96.174129830280947</v>
      </c>
      <c r="T62" s="639"/>
    </row>
    <row r="63" spans="2:20" ht="12" hidden="1" customHeight="1">
      <c r="B63" s="254" t="s">
        <v>209</v>
      </c>
      <c r="C63" s="255" t="s">
        <v>209</v>
      </c>
      <c r="D63" s="84">
        <v>96.3</v>
      </c>
      <c r="E63" s="410">
        <v>97.320061255742715</v>
      </c>
      <c r="F63" s="410">
        <v>96.893874029335635</v>
      </c>
      <c r="G63" s="410">
        <v>94.077961019490246</v>
      </c>
      <c r="H63" s="410">
        <v>96.536004588719408</v>
      </c>
      <c r="I63" s="410">
        <v>85.85526315789474</v>
      </c>
      <c r="J63" s="82">
        <v>133.50958986030417</v>
      </c>
      <c r="K63" s="320">
        <f t="shared" si="0"/>
        <v>97.926099655656998</v>
      </c>
      <c r="L63" s="413">
        <v>97.42485068050523</v>
      </c>
      <c r="M63" s="410">
        <v>96.05239221393488</v>
      </c>
      <c r="N63" s="92">
        <f t="shared" si="1"/>
        <v>96.354790967437395</v>
      </c>
      <c r="O63" s="410">
        <v>94.906736252053747</v>
      </c>
      <c r="P63" s="410">
        <v>114.49315833566042</v>
      </c>
      <c r="Q63" s="410">
        <v>97.011362551322449</v>
      </c>
      <c r="R63" s="84">
        <v>96.3</v>
      </c>
      <c r="S63" s="448">
        <v>96.270016300699979</v>
      </c>
      <c r="T63" s="639"/>
    </row>
    <row r="64" spans="2:20" ht="12" hidden="1" customHeight="1">
      <c r="B64" s="258" t="s">
        <v>248</v>
      </c>
      <c r="C64" s="257" t="s">
        <v>249</v>
      </c>
      <c r="D64" s="311">
        <v>96.6</v>
      </c>
      <c r="E64" s="407">
        <v>92.419601837672275</v>
      </c>
      <c r="F64" s="407">
        <v>98.274374460742024</v>
      </c>
      <c r="G64" s="407">
        <v>94.302848575712133</v>
      </c>
      <c r="H64" s="407">
        <v>96.971796737127534</v>
      </c>
      <c r="I64" s="407">
        <v>87.23684210526315</v>
      </c>
      <c r="J64" s="251">
        <v>137.79219548085001</v>
      </c>
      <c r="K64" s="163">
        <f t="shared" si="0"/>
        <v>98.575051822244475</v>
      </c>
      <c r="L64" s="414">
        <v>97.42485068050523</v>
      </c>
      <c r="M64" s="407">
        <v>96.23430962343096</v>
      </c>
      <c r="N64" s="90">
        <f t="shared" si="1"/>
        <v>96.496625854065229</v>
      </c>
      <c r="O64" s="407">
        <v>97.999420121774435</v>
      </c>
      <c r="P64" s="407">
        <v>115.4239970213162</v>
      </c>
      <c r="Q64" s="407">
        <v>97.106846175880847</v>
      </c>
      <c r="R64" s="311">
        <v>96.6</v>
      </c>
      <c r="S64" s="449">
        <v>96.174129830280947</v>
      </c>
      <c r="T64" s="639"/>
    </row>
    <row r="65" spans="2:20" ht="12" hidden="1" customHeight="1">
      <c r="B65" s="259" t="s">
        <v>147</v>
      </c>
      <c r="C65" s="253" t="s">
        <v>147</v>
      </c>
      <c r="D65" s="311">
        <v>96.3</v>
      </c>
      <c r="E65" s="407">
        <v>92.725880551301671</v>
      </c>
      <c r="F65" s="407">
        <v>99.309749784296798</v>
      </c>
      <c r="G65" s="407">
        <v>93.628185907046472</v>
      </c>
      <c r="H65" s="407">
        <v>96.971923178958704</v>
      </c>
      <c r="I65" s="407">
        <v>87.565789473684205</v>
      </c>
      <c r="J65" s="81">
        <v>134.74416387813582</v>
      </c>
      <c r="K65" s="163">
        <f t="shared" si="0"/>
        <v>98.397237833394016</v>
      </c>
      <c r="L65" s="414">
        <v>97.522765103299704</v>
      </c>
      <c r="M65" s="407">
        <v>96.23430962343096</v>
      </c>
      <c r="N65" s="90">
        <f t="shared" si="1"/>
        <v>96.518199694093312</v>
      </c>
      <c r="O65" s="407">
        <v>95.873199961341456</v>
      </c>
      <c r="P65" s="407">
        <v>115.14474541561947</v>
      </c>
      <c r="Q65" s="407">
        <v>97.106846175880847</v>
      </c>
      <c r="R65" s="311">
        <v>96.3</v>
      </c>
      <c r="S65" s="449">
        <v>96.270016300699979</v>
      </c>
      <c r="T65" s="639"/>
    </row>
    <row r="66" spans="2:20" ht="12" hidden="1" customHeight="1">
      <c r="B66" s="259" t="s">
        <v>148</v>
      </c>
      <c r="C66" s="253" t="s">
        <v>148</v>
      </c>
      <c r="D66" s="311">
        <v>96.2</v>
      </c>
      <c r="E66" s="407">
        <v>92.496171516079627</v>
      </c>
      <c r="F66" s="407">
        <v>100.25884383088869</v>
      </c>
      <c r="G66" s="407">
        <v>92.878560719640177</v>
      </c>
      <c r="H66" s="407">
        <v>97.05174079333139</v>
      </c>
      <c r="I66" s="407">
        <v>87.23684210526315</v>
      </c>
      <c r="J66" s="81">
        <v>132.26436391984967</v>
      </c>
      <c r="K66" s="163">
        <f t="shared" si="0"/>
        <v>98.266563963552386</v>
      </c>
      <c r="L66" s="414">
        <v>97.522765103299704</v>
      </c>
      <c r="M66" s="407">
        <v>96.325268328179021</v>
      </c>
      <c r="N66" s="90">
        <f t="shared" si="1"/>
        <v>96.589117137407243</v>
      </c>
      <c r="O66" s="407">
        <v>96.743017299700398</v>
      </c>
      <c r="P66" s="407">
        <v>115.14474541561947</v>
      </c>
      <c r="Q66" s="407">
        <v>97.20232980043923</v>
      </c>
      <c r="R66" s="311">
        <v>96.2</v>
      </c>
      <c r="S66" s="449">
        <v>96.270016300699979</v>
      </c>
      <c r="T66" s="639"/>
    </row>
    <row r="67" spans="2:20" ht="12" hidden="1" customHeight="1">
      <c r="B67" s="259" t="s">
        <v>149</v>
      </c>
      <c r="C67" s="253" t="s">
        <v>149</v>
      </c>
      <c r="D67" s="311">
        <v>99.9</v>
      </c>
      <c r="E67" s="407">
        <v>95.176110260336898</v>
      </c>
      <c r="F67" s="407">
        <v>105.43572044866264</v>
      </c>
      <c r="G67" s="407">
        <v>95.57721139430285</v>
      </c>
      <c r="H67" s="407">
        <v>101.49619756864398</v>
      </c>
      <c r="I67" s="407">
        <v>89.605263157894726</v>
      </c>
      <c r="J67" s="81">
        <v>132.48400000230086</v>
      </c>
      <c r="K67" s="163">
        <f t="shared" si="0"/>
        <v>102.22501109874189</v>
      </c>
      <c r="L67" s="414">
        <v>100.1664545187506</v>
      </c>
      <c r="M67" s="407">
        <v>99.05402947062035</v>
      </c>
      <c r="N67" s="90">
        <f t="shared" si="1"/>
        <v>99.299134117582938</v>
      </c>
      <c r="O67" s="407">
        <v>97.709481008988107</v>
      </c>
      <c r="P67" s="407">
        <v>118.03034534115237</v>
      </c>
      <c r="Q67" s="407">
        <v>99.875871288074094</v>
      </c>
      <c r="R67" s="311">
        <v>99.9</v>
      </c>
      <c r="S67" s="449">
        <v>96.557675711957046</v>
      </c>
      <c r="T67" s="639"/>
    </row>
    <row r="68" spans="2:20" ht="12" hidden="1" customHeight="1">
      <c r="B68" s="259" t="s">
        <v>150</v>
      </c>
      <c r="C68" s="253" t="s">
        <v>150</v>
      </c>
      <c r="D68" s="311">
        <v>99.5</v>
      </c>
      <c r="E68" s="407">
        <v>95.558958652373647</v>
      </c>
      <c r="F68" s="407">
        <v>105.34943917169973</v>
      </c>
      <c r="G68" s="407">
        <v>95.427286356821583</v>
      </c>
      <c r="H68" s="407">
        <v>101.41658890278363</v>
      </c>
      <c r="I68" s="407">
        <v>89.53947368421052</v>
      </c>
      <c r="J68" s="81">
        <v>120.8332080589891</v>
      </c>
      <c r="K68" s="163">
        <f t="shared" si="0"/>
        <v>101.49934981539337</v>
      </c>
      <c r="L68" s="414">
        <v>100.1664545187506</v>
      </c>
      <c r="M68" s="407">
        <v>99.144988175368383</v>
      </c>
      <c r="N68" s="90">
        <f t="shared" si="1"/>
        <v>99.370051560896854</v>
      </c>
      <c r="O68" s="407">
        <v>97.709481008988107</v>
      </c>
      <c r="P68" s="407">
        <v>119.51968723820163</v>
      </c>
      <c r="Q68" s="407">
        <v>99.684904038957328</v>
      </c>
      <c r="R68" s="311">
        <v>99.5</v>
      </c>
      <c r="S68" s="449">
        <v>96.557675711957046</v>
      </c>
      <c r="T68" s="639"/>
    </row>
    <row r="69" spans="2:20" ht="12" hidden="1" customHeight="1">
      <c r="B69" s="259" t="s">
        <v>151</v>
      </c>
      <c r="C69" s="253" t="s">
        <v>151</v>
      </c>
      <c r="D69" s="311">
        <v>99.2</v>
      </c>
      <c r="E69" s="407">
        <v>95.712098009188352</v>
      </c>
      <c r="F69" s="407">
        <v>105.09059534081103</v>
      </c>
      <c r="G69" s="407">
        <v>95.95202398800599</v>
      </c>
      <c r="H69" s="407">
        <v>101.33686511823552</v>
      </c>
      <c r="I69" s="407">
        <v>89.736842105263165</v>
      </c>
      <c r="J69" s="81">
        <v>130.25909515812012</v>
      </c>
      <c r="K69" s="163">
        <f t="shared" si="0"/>
        <v>102.01626689070773</v>
      </c>
      <c r="L69" s="414">
        <v>100.26436894154509</v>
      </c>
      <c r="M69" s="407">
        <v>98.963070765872303</v>
      </c>
      <c r="N69" s="90">
        <f t="shared" si="1"/>
        <v>99.249790514297104</v>
      </c>
      <c r="O69" s="407">
        <v>99.062530201990924</v>
      </c>
      <c r="P69" s="407">
        <v>120.07819044959508</v>
      </c>
      <c r="Q69" s="407">
        <v>99.684904038957328</v>
      </c>
      <c r="R69" s="311">
        <v>99.2</v>
      </c>
      <c r="S69" s="449">
        <v>97.037108064052177</v>
      </c>
      <c r="T69" s="639"/>
    </row>
    <row r="70" spans="2:20" ht="12" hidden="1" customHeight="1">
      <c r="B70" s="259" t="s">
        <v>152</v>
      </c>
      <c r="C70" s="253" t="s">
        <v>152</v>
      </c>
      <c r="D70" s="311">
        <v>99.6</v>
      </c>
      <c r="E70" s="407">
        <v>96.63093415007657</v>
      </c>
      <c r="F70" s="407">
        <v>102.58843830888698</v>
      </c>
      <c r="G70" s="407">
        <v>95.052473763118428</v>
      </c>
      <c r="H70" s="407">
        <v>102.76650322327998</v>
      </c>
      <c r="I70" s="407">
        <v>89.671052631578959</v>
      </c>
      <c r="J70" s="81">
        <v>130.76901357914858</v>
      </c>
      <c r="K70" s="163">
        <f t="shared" si="0"/>
        <v>102.93259645105492</v>
      </c>
      <c r="L70" s="414">
        <v>100.1664545187506</v>
      </c>
      <c r="M70" s="407">
        <v>98.599235946880128</v>
      </c>
      <c r="N70" s="90">
        <f t="shared" si="1"/>
        <v>98.944546901013325</v>
      </c>
      <c r="O70" s="407">
        <v>99.062530201990924</v>
      </c>
      <c r="P70" s="407">
        <v>122.0329516894722</v>
      </c>
      <c r="Q70" s="407">
        <v>99.780387663515711</v>
      </c>
      <c r="R70" s="311">
        <v>99.6</v>
      </c>
      <c r="S70" s="449">
        <v>97.037108064052177</v>
      </c>
      <c r="T70" s="639"/>
    </row>
    <row r="71" spans="2:20" ht="12" hidden="1" customHeight="1">
      <c r="B71" s="259" t="s">
        <v>153</v>
      </c>
      <c r="C71" s="253" t="s">
        <v>153</v>
      </c>
      <c r="D71" s="311">
        <v>99.4</v>
      </c>
      <c r="E71" s="407">
        <v>96.477794793261864</v>
      </c>
      <c r="F71" s="407">
        <v>99.568593615185506</v>
      </c>
      <c r="G71" s="407">
        <v>94.677661169415288</v>
      </c>
      <c r="H71" s="407">
        <v>102.76650322327998</v>
      </c>
      <c r="I71" s="407">
        <v>89.671052631578959</v>
      </c>
      <c r="J71" s="81">
        <v>131.0800989383894</v>
      </c>
      <c r="K71" s="163">
        <f t="shared" si="0"/>
        <v>102.78719588684608</v>
      </c>
      <c r="L71" s="414">
        <v>100.1664545187506</v>
      </c>
      <c r="M71" s="407">
        <v>98.690194651628161</v>
      </c>
      <c r="N71" s="90">
        <f t="shared" si="1"/>
        <v>99.015464344327242</v>
      </c>
      <c r="O71" s="407">
        <v>99.159176572919691</v>
      </c>
      <c r="P71" s="407">
        <v>121.56753234664431</v>
      </c>
      <c r="Q71" s="407">
        <v>99.971354912632492</v>
      </c>
      <c r="R71" s="311">
        <v>99.4</v>
      </c>
      <c r="S71" s="449">
        <v>97.037108064052177</v>
      </c>
      <c r="T71" s="639"/>
    </row>
    <row r="72" spans="2:20" ht="12" hidden="1" customHeight="1">
      <c r="B72" s="259" t="s">
        <v>154</v>
      </c>
      <c r="C72" s="253" t="s">
        <v>154</v>
      </c>
      <c r="D72" s="311">
        <v>99.3</v>
      </c>
      <c r="E72" s="407">
        <v>96.401225114854512</v>
      </c>
      <c r="F72" s="407">
        <v>97.411561691113036</v>
      </c>
      <c r="G72" s="407">
        <v>94.752623688155921</v>
      </c>
      <c r="H72" s="407">
        <v>102.76650322327998</v>
      </c>
      <c r="I72" s="407">
        <v>90.06578947368422</v>
      </c>
      <c r="J72" s="81">
        <v>133.45413822788473</v>
      </c>
      <c r="K72" s="163">
        <f t="shared" si="0"/>
        <v>102.85432090266123</v>
      </c>
      <c r="L72" s="414">
        <v>100.06854009595612</v>
      </c>
      <c r="M72" s="407">
        <v>98.690194651628161</v>
      </c>
      <c r="N72" s="90">
        <f t="shared" si="1"/>
        <v>98.993890504299173</v>
      </c>
      <c r="O72" s="407">
        <v>99.352469314777238</v>
      </c>
      <c r="P72" s="407">
        <v>120.63669366098854</v>
      </c>
      <c r="Q72" s="407">
        <v>99.971354912632492</v>
      </c>
      <c r="R72" s="311">
        <v>99.3</v>
      </c>
      <c r="S72" s="449">
        <v>99.050723942851661</v>
      </c>
      <c r="T72" s="639"/>
    </row>
    <row r="73" spans="2:20" ht="12" hidden="1" customHeight="1">
      <c r="B73" s="259" t="s">
        <v>155</v>
      </c>
      <c r="C73" s="253" t="s">
        <v>155</v>
      </c>
      <c r="D73" s="311">
        <v>99</v>
      </c>
      <c r="E73" s="407">
        <v>97.243491577335377</v>
      </c>
      <c r="F73" s="407">
        <v>97.411561691113036</v>
      </c>
      <c r="G73" s="407">
        <v>96.401799100449765</v>
      </c>
      <c r="H73" s="407">
        <v>98.400649651093303</v>
      </c>
      <c r="I73" s="407">
        <v>94.01315789473685</v>
      </c>
      <c r="J73" s="81">
        <v>138.14541873124674</v>
      </c>
      <c r="K73" s="163">
        <f t="shared" si="0"/>
        <v>100.17747617336443</v>
      </c>
      <c r="L73" s="414">
        <v>99.970625673161635</v>
      </c>
      <c r="M73" s="407">
        <v>98.690194651628161</v>
      </c>
      <c r="N73" s="90">
        <f t="shared" si="1"/>
        <v>98.972316664271091</v>
      </c>
      <c r="O73" s="407">
        <v>99.255822943848472</v>
      </c>
      <c r="P73" s="407">
        <v>118.68193242111141</v>
      </c>
      <c r="Q73" s="407">
        <v>99.971354912632492</v>
      </c>
      <c r="R73" s="311">
        <v>99</v>
      </c>
      <c r="S73" s="449">
        <v>99.146610413270693</v>
      </c>
      <c r="T73" s="639"/>
    </row>
    <row r="74" spans="2:20" ht="12" hidden="1" customHeight="1">
      <c r="B74" s="259" t="s">
        <v>156</v>
      </c>
      <c r="C74" s="253" t="s">
        <v>156</v>
      </c>
      <c r="D74" s="311">
        <v>98.5</v>
      </c>
      <c r="E74" s="407">
        <v>98.009188361408874</v>
      </c>
      <c r="F74" s="407">
        <v>97.497842968075929</v>
      </c>
      <c r="G74" s="407">
        <v>96.776611694152919</v>
      </c>
      <c r="H74" s="407">
        <v>98.400512895792758</v>
      </c>
      <c r="I74" s="407">
        <v>94.868421052631575</v>
      </c>
      <c r="J74" s="81">
        <v>140.24063792322451</v>
      </c>
      <c r="K74" s="163">
        <f t="shared" si="0"/>
        <v>100.37913819660081</v>
      </c>
      <c r="L74" s="414">
        <v>100.06854009595612</v>
      </c>
      <c r="M74" s="407">
        <v>98.872112061124255</v>
      </c>
      <c r="N74" s="90">
        <f t="shared" si="1"/>
        <v>99.135725390927021</v>
      </c>
      <c r="O74" s="407">
        <v>99.835701169421085</v>
      </c>
      <c r="P74" s="407">
        <v>115.70324862701293</v>
      </c>
      <c r="Q74" s="407">
        <v>99.971354912632492</v>
      </c>
      <c r="R74" s="311">
        <v>98.5</v>
      </c>
      <c r="S74" s="449">
        <v>99.146610413270693</v>
      </c>
      <c r="T74" s="639"/>
    </row>
    <row r="75" spans="2:20" ht="12" hidden="1" customHeight="1">
      <c r="B75" s="337" t="s">
        <v>157</v>
      </c>
      <c r="C75" s="253" t="s">
        <v>157</v>
      </c>
      <c r="D75" s="378">
        <v>98.3</v>
      </c>
      <c r="E75" s="407">
        <v>99.540581929555898</v>
      </c>
      <c r="F75" s="407">
        <v>100.43140638481449</v>
      </c>
      <c r="G75" s="407">
        <v>100.29985007496252</v>
      </c>
      <c r="H75" s="407">
        <v>98.400512895792758</v>
      </c>
      <c r="I75" s="407">
        <v>98.09210526315789</v>
      </c>
      <c r="J75" s="81">
        <v>148.12587387783498</v>
      </c>
      <c r="K75" s="320">
        <f t="shared" si="0"/>
        <v>101.44232593518097</v>
      </c>
      <c r="L75" s="414">
        <v>100.06854009595612</v>
      </c>
      <c r="M75" s="407">
        <v>99.05402947062035</v>
      </c>
      <c r="N75" s="92">
        <f t="shared" si="1"/>
        <v>99.277560277554869</v>
      </c>
      <c r="O75" s="407">
        <v>99.352469314777238</v>
      </c>
      <c r="P75" s="407">
        <v>111.51447454156194</v>
      </c>
      <c r="Q75" s="407">
        <v>99.971354912632492</v>
      </c>
      <c r="R75" s="378">
        <v>98.3</v>
      </c>
      <c r="S75" s="449">
        <v>99.242496883689711</v>
      </c>
      <c r="T75" s="639"/>
    </row>
    <row r="76" spans="2:20" ht="12" hidden="1" customHeight="1">
      <c r="B76" s="258" t="s">
        <v>361</v>
      </c>
      <c r="C76" s="257" t="s">
        <v>362</v>
      </c>
      <c r="D76" s="338">
        <v>99.3</v>
      </c>
      <c r="E76" s="457">
        <v>101.1</v>
      </c>
      <c r="F76" s="457">
        <v>103.4</v>
      </c>
      <c r="G76" s="457">
        <v>101.2</v>
      </c>
      <c r="H76" s="457">
        <v>102.36358707727858</v>
      </c>
      <c r="I76" s="457">
        <v>99.6</v>
      </c>
      <c r="J76" s="251">
        <v>149.71095361530649</v>
      </c>
      <c r="K76" s="163">
        <f t="shared" si="0"/>
        <v>104.79688764984476</v>
      </c>
      <c r="L76" s="459">
        <v>100</v>
      </c>
      <c r="M76" s="457">
        <v>99.3</v>
      </c>
      <c r="N76" s="90">
        <f t="shared" si="1"/>
        <v>99.45423353974472</v>
      </c>
      <c r="O76" s="457">
        <v>99.4</v>
      </c>
      <c r="P76" s="457">
        <v>104.5</v>
      </c>
      <c r="Q76" s="457">
        <v>99.8</v>
      </c>
      <c r="R76" s="338">
        <v>99.3</v>
      </c>
      <c r="S76" s="461">
        <v>99.6</v>
      </c>
      <c r="T76" s="639"/>
    </row>
    <row r="77" spans="2:20" ht="12" hidden="1" customHeight="1">
      <c r="B77" s="259" t="s">
        <v>147</v>
      </c>
      <c r="C77" s="253" t="s">
        <v>147</v>
      </c>
      <c r="D77" s="311">
        <v>99</v>
      </c>
      <c r="E77" s="407">
        <v>101.1</v>
      </c>
      <c r="F77" s="407">
        <v>102.9</v>
      </c>
      <c r="G77" s="407">
        <v>101.6</v>
      </c>
      <c r="H77" s="407">
        <v>102.56383894881698</v>
      </c>
      <c r="I77" s="407">
        <v>100.7</v>
      </c>
      <c r="J77" s="81">
        <v>148.10295275963912</v>
      </c>
      <c r="K77" s="163">
        <f t="shared" ref="K77:K86" si="2">($E$14*E77+F$14*F77+$G$14*G77+$H$14*H77+$I$14*I77+$J$14*J77)/$K$14</f>
        <v>104.92318535765061</v>
      </c>
      <c r="L77" s="414">
        <v>99.9</v>
      </c>
      <c r="M77" s="407">
        <v>99.3</v>
      </c>
      <c r="N77" s="90">
        <f t="shared" ref="N77:N89" si="3">($L$14*L77+$M$14*M77)/$N$14</f>
        <v>99.432200176924056</v>
      </c>
      <c r="O77" s="407">
        <v>99.4</v>
      </c>
      <c r="P77" s="407">
        <v>99.8</v>
      </c>
      <c r="Q77" s="407">
        <v>99.8</v>
      </c>
      <c r="R77" s="311">
        <v>99</v>
      </c>
      <c r="S77" s="449">
        <v>99.7</v>
      </c>
      <c r="T77" s="639"/>
    </row>
    <row r="78" spans="2:20" ht="12" hidden="1" customHeight="1">
      <c r="B78" s="259" t="s">
        <v>148</v>
      </c>
      <c r="C78" s="253" t="s">
        <v>148</v>
      </c>
      <c r="D78" s="311">
        <v>99.1</v>
      </c>
      <c r="E78" s="407">
        <v>100.1</v>
      </c>
      <c r="F78" s="407">
        <v>99.1</v>
      </c>
      <c r="G78" s="407">
        <v>101.3</v>
      </c>
      <c r="H78" s="407">
        <v>102.26320826100503</v>
      </c>
      <c r="I78" s="407">
        <v>100.7</v>
      </c>
      <c r="J78" s="81">
        <v>149.97446042012621</v>
      </c>
      <c r="K78" s="163">
        <f t="shared" si="2"/>
        <v>104.6053894396172</v>
      </c>
      <c r="L78" s="414">
        <v>100</v>
      </c>
      <c r="M78" s="407">
        <v>99.3</v>
      </c>
      <c r="N78" s="90">
        <f t="shared" si="3"/>
        <v>99.45423353974472</v>
      </c>
      <c r="O78" s="407">
        <v>99.5</v>
      </c>
      <c r="P78" s="407">
        <v>102</v>
      </c>
      <c r="Q78" s="407">
        <v>99.9</v>
      </c>
      <c r="R78" s="311">
        <v>99.1</v>
      </c>
      <c r="S78" s="449">
        <v>99.7</v>
      </c>
      <c r="T78" s="639"/>
    </row>
    <row r="79" spans="2:20" ht="12" hidden="1" customHeight="1">
      <c r="B79" s="259" t="s">
        <v>149</v>
      </c>
      <c r="C79" s="253" t="s">
        <v>149</v>
      </c>
      <c r="D79" s="311">
        <v>99.6</v>
      </c>
      <c r="E79" s="407">
        <v>100.5</v>
      </c>
      <c r="F79" s="407">
        <v>99.2</v>
      </c>
      <c r="G79" s="407">
        <v>101</v>
      </c>
      <c r="H79" s="407">
        <v>101.44705028794267</v>
      </c>
      <c r="I79" s="407">
        <v>101.4</v>
      </c>
      <c r="J79" s="81">
        <v>150.67201380139397</v>
      </c>
      <c r="K79" s="163">
        <f t="shared" si="2"/>
        <v>104.03919381311614</v>
      </c>
      <c r="L79" s="414">
        <v>99.9</v>
      </c>
      <c r="M79" s="407">
        <v>99.3</v>
      </c>
      <c r="N79" s="90">
        <f t="shared" si="3"/>
        <v>99.432200176924056</v>
      </c>
      <c r="O79" s="407">
        <v>99.3</v>
      </c>
      <c r="P79" s="407">
        <v>101.6</v>
      </c>
      <c r="Q79" s="407">
        <v>100</v>
      </c>
      <c r="R79" s="311">
        <v>99.6</v>
      </c>
      <c r="S79" s="449">
        <v>99.7</v>
      </c>
      <c r="T79" s="639"/>
    </row>
    <row r="80" spans="2:20" ht="12" hidden="1" customHeight="1">
      <c r="B80" s="259" t="s">
        <v>150</v>
      </c>
      <c r="C80" s="253" t="s">
        <v>150</v>
      </c>
      <c r="D80" s="311">
        <v>100</v>
      </c>
      <c r="E80" s="407">
        <v>100.9</v>
      </c>
      <c r="F80" s="407">
        <v>99.1</v>
      </c>
      <c r="G80" s="407">
        <v>100.4</v>
      </c>
      <c r="H80" s="407">
        <v>101.44739611685719</v>
      </c>
      <c r="I80" s="407">
        <v>101</v>
      </c>
      <c r="J80" s="81">
        <v>153.29347286013609</v>
      </c>
      <c r="K80" s="163">
        <f t="shared" si="2"/>
        <v>104.10889262759193</v>
      </c>
      <c r="L80" s="414">
        <v>99.9</v>
      </c>
      <c r="M80" s="407">
        <v>99.3</v>
      </c>
      <c r="N80" s="90">
        <f t="shared" si="3"/>
        <v>99.432200176924056</v>
      </c>
      <c r="O80" s="407">
        <v>99.3</v>
      </c>
      <c r="P80" s="407">
        <v>102.9</v>
      </c>
      <c r="Q80" s="407">
        <v>100</v>
      </c>
      <c r="R80" s="311">
        <v>100</v>
      </c>
      <c r="S80" s="449">
        <v>99.7</v>
      </c>
      <c r="T80" s="639"/>
    </row>
    <row r="81" spans="2:20" ht="12" hidden="1" customHeight="1">
      <c r="B81" s="259" t="s">
        <v>151</v>
      </c>
      <c r="C81" s="253" t="s">
        <v>151</v>
      </c>
      <c r="D81" s="311">
        <v>100</v>
      </c>
      <c r="E81" s="407">
        <v>101.7</v>
      </c>
      <c r="F81" s="407">
        <v>99.1</v>
      </c>
      <c r="G81" s="407">
        <v>100.4</v>
      </c>
      <c r="H81" s="407">
        <v>101.44739611685719</v>
      </c>
      <c r="I81" s="407">
        <v>101.2</v>
      </c>
      <c r="J81" s="81">
        <v>153.23881306081012</v>
      </c>
      <c r="K81" s="163">
        <f t="shared" si="2"/>
        <v>104.12289456350199</v>
      </c>
      <c r="L81" s="414">
        <v>100</v>
      </c>
      <c r="M81" s="407">
        <v>99.9</v>
      </c>
      <c r="N81" s="90">
        <f t="shared" si="3"/>
        <v>99.922033362820684</v>
      </c>
      <c r="O81" s="407">
        <v>101.2</v>
      </c>
      <c r="P81" s="407">
        <v>103.7</v>
      </c>
      <c r="Q81" s="407">
        <v>100.1</v>
      </c>
      <c r="R81" s="311">
        <v>100</v>
      </c>
      <c r="S81" s="449">
        <v>99.8</v>
      </c>
      <c r="T81" s="639"/>
    </row>
    <row r="82" spans="2:20" ht="12" hidden="1" customHeight="1">
      <c r="B82" s="259" t="s">
        <v>152</v>
      </c>
      <c r="C82" s="253" t="s">
        <v>152</v>
      </c>
      <c r="D82" s="311">
        <v>100.3</v>
      </c>
      <c r="E82" s="407">
        <v>101.8</v>
      </c>
      <c r="F82" s="407">
        <v>97.7</v>
      </c>
      <c r="G82" s="407">
        <v>99.8</v>
      </c>
      <c r="H82" s="407">
        <v>99.365295534556239</v>
      </c>
      <c r="I82" s="407">
        <v>102.2</v>
      </c>
      <c r="J82" s="81">
        <v>150.97416863140654</v>
      </c>
      <c r="K82" s="163">
        <f t="shared" si="2"/>
        <v>102.35934120639165</v>
      </c>
      <c r="L82" s="414">
        <v>100</v>
      </c>
      <c r="M82" s="407">
        <v>100.3</v>
      </c>
      <c r="N82" s="90">
        <f t="shared" si="3"/>
        <v>100.23389991153797</v>
      </c>
      <c r="O82" s="407">
        <v>101.2</v>
      </c>
      <c r="P82" s="407">
        <v>103.9</v>
      </c>
      <c r="Q82" s="407">
        <v>100.1</v>
      </c>
      <c r="R82" s="311">
        <v>100.3</v>
      </c>
      <c r="S82" s="449">
        <v>99.8</v>
      </c>
      <c r="T82" s="639"/>
    </row>
    <row r="83" spans="2:20" ht="12" hidden="1" customHeight="1">
      <c r="B83" s="259" t="s">
        <v>153</v>
      </c>
      <c r="C83" s="253" t="s">
        <v>153</v>
      </c>
      <c r="D83" s="311">
        <v>100.1</v>
      </c>
      <c r="E83" s="407">
        <v>101.7</v>
      </c>
      <c r="F83" s="407">
        <v>101.6</v>
      </c>
      <c r="G83" s="407">
        <v>100</v>
      </c>
      <c r="H83" s="407">
        <v>99.365415798007874</v>
      </c>
      <c r="I83" s="407">
        <v>101.8</v>
      </c>
      <c r="J83" s="81">
        <v>146.82584631388033</v>
      </c>
      <c r="K83" s="163">
        <f t="shared" si="2"/>
        <v>102.29019719367156</v>
      </c>
      <c r="L83" s="414">
        <v>100</v>
      </c>
      <c r="M83" s="407">
        <v>100.4</v>
      </c>
      <c r="N83" s="90">
        <f t="shared" si="3"/>
        <v>100.3118665487173</v>
      </c>
      <c r="O83" s="407">
        <v>101</v>
      </c>
      <c r="P83" s="407">
        <v>100.7</v>
      </c>
      <c r="Q83" s="407">
        <v>100</v>
      </c>
      <c r="R83" s="311">
        <v>100.1</v>
      </c>
      <c r="S83" s="449">
        <v>99.9</v>
      </c>
      <c r="T83" s="639"/>
    </row>
    <row r="84" spans="2:20" ht="12" hidden="1" customHeight="1">
      <c r="B84" s="259" t="s">
        <v>154</v>
      </c>
      <c r="C84" s="253" t="s">
        <v>154</v>
      </c>
      <c r="D84" s="311">
        <v>100</v>
      </c>
      <c r="E84" s="407">
        <v>99.9</v>
      </c>
      <c r="F84" s="407">
        <v>101.1</v>
      </c>
      <c r="G84" s="407">
        <v>100</v>
      </c>
      <c r="H84" s="407">
        <v>99.365415798007874</v>
      </c>
      <c r="I84" s="407">
        <v>101.6</v>
      </c>
      <c r="J84" s="81">
        <v>138.17490420558127</v>
      </c>
      <c r="K84" s="163">
        <f t="shared" si="2"/>
        <v>101.76009919867613</v>
      </c>
      <c r="L84" s="414">
        <v>100</v>
      </c>
      <c r="M84" s="407">
        <v>100.5</v>
      </c>
      <c r="N84" s="90">
        <f t="shared" si="3"/>
        <v>100.38983318589662</v>
      </c>
      <c r="O84" s="407">
        <v>99.5</v>
      </c>
      <c r="P84" s="407">
        <v>98.2</v>
      </c>
      <c r="Q84" s="407">
        <v>100.1</v>
      </c>
      <c r="R84" s="311">
        <v>100</v>
      </c>
      <c r="S84" s="449">
        <v>100.3</v>
      </c>
      <c r="T84" s="639"/>
    </row>
    <row r="85" spans="2:20" ht="12" hidden="1" customHeight="1">
      <c r="B85" s="259" t="s">
        <v>155</v>
      </c>
      <c r="C85" s="253" t="s">
        <v>155</v>
      </c>
      <c r="D85" s="311">
        <v>99.5</v>
      </c>
      <c r="E85" s="407">
        <v>98.6</v>
      </c>
      <c r="F85" s="407">
        <v>99</v>
      </c>
      <c r="G85" s="407">
        <v>98.2</v>
      </c>
      <c r="H85" s="407">
        <v>99.266379110430876</v>
      </c>
      <c r="I85" s="407">
        <v>96.9</v>
      </c>
      <c r="J85" s="81">
        <v>136.50972126155906</v>
      </c>
      <c r="K85" s="163">
        <f>($E$14*E85+F$14*F85+$G$14*G85+$H$14*H85+$I$14*I85+$J$14*J85)/$K$14</f>
        <v>101.11656046799536</v>
      </c>
      <c r="L85" s="414">
        <v>100.1</v>
      </c>
      <c r="M85" s="407">
        <v>100.6</v>
      </c>
      <c r="N85" s="90">
        <f t="shared" si="3"/>
        <v>100.48983318589661</v>
      </c>
      <c r="O85" s="407">
        <v>100.6</v>
      </c>
      <c r="P85" s="407">
        <v>95.8</v>
      </c>
      <c r="Q85" s="407">
        <v>100.1</v>
      </c>
      <c r="R85" s="311">
        <v>99.5</v>
      </c>
      <c r="S85" s="449">
        <v>100</v>
      </c>
      <c r="T85" s="639"/>
    </row>
    <row r="86" spans="2:20" ht="12" hidden="1" customHeight="1">
      <c r="B86" s="259" t="s">
        <v>156</v>
      </c>
      <c r="C86" s="253" t="s">
        <v>156</v>
      </c>
      <c r="D86" s="311">
        <v>99.4</v>
      </c>
      <c r="E86" s="407">
        <v>97.2</v>
      </c>
      <c r="F86" s="407">
        <v>98.9</v>
      </c>
      <c r="G86" s="407">
        <v>98</v>
      </c>
      <c r="H86" s="407">
        <v>99.166620273718394</v>
      </c>
      <c r="I86" s="407">
        <v>96.1</v>
      </c>
      <c r="J86" s="81">
        <v>136.02430114096683</v>
      </c>
      <c r="K86" s="163">
        <f t="shared" si="2"/>
        <v>100.94191389428224</v>
      </c>
      <c r="L86" s="414">
        <v>100.1</v>
      </c>
      <c r="M86" s="407">
        <v>100.9</v>
      </c>
      <c r="N86" s="90">
        <f t="shared" si="3"/>
        <v>100.72373309743462</v>
      </c>
      <c r="O86" s="407">
        <v>99.8</v>
      </c>
      <c r="P86" s="407">
        <v>94.6</v>
      </c>
      <c r="Q86" s="407">
        <v>100.1</v>
      </c>
      <c r="R86" s="311">
        <v>99.4</v>
      </c>
      <c r="S86" s="449">
        <v>100.1</v>
      </c>
      <c r="T86" s="639"/>
    </row>
    <row r="87" spans="2:20" ht="12" hidden="1" customHeight="1">
      <c r="B87" s="389" t="s">
        <v>157</v>
      </c>
      <c r="C87" s="255" t="s">
        <v>157</v>
      </c>
      <c r="D87" s="390">
        <v>99.4</v>
      </c>
      <c r="E87" s="458">
        <v>95.4</v>
      </c>
      <c r="F87" s="458">
        <v>98.9</v>
      </c>
      <c r="G87" s="458">
        <v>98</v>
      </c>
      <c r="H87" s="458">
        <v>99.166499675294546</v>
      </c>
      <c r="I87" s="458">
        <v>96.8</v>
      </c>
      <c r="J87" s="82">
        <v>135.71384809660125</v>
      </c>
      <c r="K87" s="320">
        <f>($E$14*E87+F$14*F87+$G$14*G87+$H$14*H87+$I$14*I87+$J$14*J87)/$K$14</f>
        <v>100.93417285638043</v>
      </c>
      <c r="L87" s="460">
        <v>100.1</v>
      </c>
      <c r="M87" s="458">
        <v>100.9</v>
      </c>
      <c r="N87" s="92">
        <f t="shared" si="3"/>
        <v>100.72373309743462</v>
      </c>
      <c r="O87" s="458">
        <v>99.8</v>
      </c>
      <c r="P87" s="458">
        <v>92.2</v>
      </c>
      <c r="Q87" s="458">
        <v>100</v>
      </c>
      <c r="R87" s="390">
        <v>99.4</v>
      </c>
      <c r="S87" s="462">
        <v>100.2</v>
      </c>
      <c r="T87" s="639"/>
    </row>
    <row r="88" spans="2:20" ht="12" hidden="1" customHeight="1">
      <c r="B88" s="337" t="s">
        <v>371</v>
      </c>
      <c r="C88" s="253" t="s">
        <v>372</v>
      </c>
      <c r="D88" s="378">
        <v>99.5</v>
      </c>
      <c r="E88" s="407">
        <v>95.1</v>
      </c>
      <c r="F88" s="407">
        <v>97.8</v>
      </c>
      <c r="G88" s="407">
        <v>98.4</v>
      </c>
      <c r="H88" s="407">
        <v>98.377737054788085</v>
      </c>
      <c r="I88" s="407">
        <v>96.1</v>
      </c>
      <c r="J88" s="388">
        <v>131.09096346672143</v>
      </c>
      <c r="K88" s="163">
        <f>($E$14*E88+F$14*F88+$G$14*G88+$H$14*H88+$I$14*I88+$J$14*J88)/$K$14</f>
        <v>100.04727987164188</v>
      </c>
      <c r="L88" s="414">
        <v>100.2</v>
      </c>
      <c r="M88" s="407">
        <v>101.1</v>
      </c>
      <c r="N88" s="90">
        <f t="shared" si="3"/>
        <v>100.90169973461393</v>
      </c>
      <c r="O88" s="407">
        <v>105.5</v>
      </c>
      <c r="P88" s="407">
        <v>87</v>
      </c>
      <c r="Q88" s="407">
        <v>100.2</v>
      </c>
      <c r="R88" s="378">
        <v>99.5</v>
      </c>
      <c r="S88" s="449">
        <v>100.5</v>
      </c>
      <c r="T88" s="639"/>
    </row>
    <row r="89" spans="2:20" ht="12" hidden="1" customHeight="1">
      <c r="B89" s="259" t="s">
        <v>147</v>
      </c>
      <c r="C89" s="253" t="s">
        <v>147</v>
      </c>
      <c r="D89" s="311">
        <v>99.1</v>
      </c>
      <c r="E89" s="407">
        <v>94.8</v>
      </c>
      <c r="F89" s="407">
        <v>96</v>
      </c>
      <c r="G89" s="407">
        <v>97</v>
      </c>
      <c r="H89" s="407">
        <v>98.377737054788085</v>
      </c>
      <c r="I89" s="407">
        <v>94.3</v>
      </c>
      <c r="J89" s="81">
        <v>127.74421482387852</v>
      </c>
      <c r="K89" s="163">
        <f>($E$14*E89+F$14*F89+$G$14*G89+$H$14*H89+$I$14*I89+$J$14*J89)/$K$14</f>
        <v>99.56867560142706</v>
      </c>
      <c r="L89" s="414">
        <v>100.2</v>
      </c>
      <c r="M89" s="407">
        <v>101.2</v>
      </c>
      <c r="N89" s="90">
        <f t="shared" si="3"/>
        <v>100.97966637179326</v>
      </c>
      <c r="O89" s="407">
        <v>105.5</v>
      </c>
      <c r="P89" s="407">
        <v>84.1</v>
      </c>
      <c r="Q89" s="407">
        <v>100.2</v>
      </c>
      <c r="R89" s="311">
        <v>99.1</v>
      </c>
      <c r="S89" s="449">
        <v>100.6</v>
      </c>
      <c r="T89" s="639"/>
    </row>
    <row r="90" spans="2:20" ht="12" hidden="1" customHeight="1">
      <c r="B90" s="259" t="s">
        <v>148</v>
      </c>
      <c r="C90" s="253" t="s">
        <v>148</v>
      </c>
      <c r="D90" s="311">
        <v>99.2</v>
      </c>
      <c r="E90" s="407">
        <v>92.5</v>
      </c>
      <c r="F90" s="407">
        <v>93.5</v>
      </c>
      <c r="G90" s="407">
        <v>95.1</v>
      </c>
      <c r="H90" s="407">
        <v>98.180218641032894</v>
      </c>
      <c r="I90" s="407">
        <v>92.8</v>
      </c>
      <c r="J90" s="81">
        <v>121.43632138388985</v>
      </c>
      <c r="K90" s="163">
        <f>($E$14*E90+F$14*F90+$G$14*G90+$H$14*H90+$I$14*I90+$J$14*J90)/$K$14</f>
        <v>98.688968516728352</v>
      </c>
      <c r="L90" s="414">
        <v>100.2</v>
      </c>
      <c r="M90" s="407">
        <v>101.2</v>
      </c>
      <c r="N90" s="90">
        <f>($L$14*L90+$M$14*M90)/$N$14</f>
        <v>100.97966637179326</v>
      </c>
      <c r="O90" s="407">
        <v>105.5</v>
      </c>
      <c r="P90" s="407">
        <v>82.9</v>
      </c>
      <c r="Q90" s="407">
        <v>100.1</v>
      </c>
      <c r="R90" s="311">
        <v>99.2</v>
      </c>
      <c r="S90" s="449">
        <v>100.6</v>
      </c>
      <c r="T90" s="639"/>
    </row>
    <row r="91" spans="2:20" ht="12" hidden="1" customHeight="1">
      <c r="B91" s="259" t="s">
        <v>149</v>
      </c>
      <c r="C91" s="253" t="s">
        <v>149</v>
      </c>
      <c r="D91" s="311">
        <v>99.2</v>
      </c>
      <c r="E91" s="407">
        <v>90.6</v>
      </c>
      <c r="F91" s="407">
        <v>90.9</v>
      </c>
      <c r="G91" s="407">
        <v>91.1</v>
      </c>
      <c r="H91" s="407">
        <v>93.72315295280454</v>
      </c>
      <c r="I91" s="407">
        <v>91.8</v>
      </c>
      <c r="J91" s="81">
        <v>120.01345869667112</v>
      </c>
      <c r="K91" s="163">
        <f t="shared" ref="K91:K99" si="4">($E$14*E91+F$14*F91+$G$14*G91+$H$14*H91+$I$14*I91+$J$14*J91)/$K$14</f>
        <v>94.69467368776553</v>
      </c>
      <c r="L91" s="414">
        <v>100.2</v>
      </c>
      <c r="M91" s="407">
        <v>101.2</v>
      </c>
      <c r="N91" s="90">
        <f t="shared" ref="N91:N101" si="5">($L$14*L91+$M$14*M91)/$N$14</f>
        <v>100.97966637179326</v>
      </c>
      <c r="O91" s="407">
        <v>104.6</v>
      </c>
      <c r="P91" s="407">
        <v>84.2</v>
      </c>
      <c r="Q91" s="407">
        <v>100</v>
      </c>
      <c r="R91" s="311">
        <v>99.2</v>
      </c>
      <c r="S91" s="449">
        <v>100.5</v>
      </c>
      <c r="T91" s="639"/>
    </row>
    <row r="92" spans="2:20" ht="12" hidden="1" customHeight="1">
      <c r="B92" s="259" t="s">
        <v>150</v>
      </c>
      <c r="C92" s="253" t="s">
        <v>150</v>
      </c>
      <c r="D92" s="311">
        <v>99.6</v>
      </c>
      <c r="E92" s="407">
        <v>89.7</v>
      </c>
      <c r="F92" s="407">
        <v>90.9</v>
      </c>
      <c r="G92" s="407">
        <v>89.8</v>
      </c>
      <c r="H92" s="407">
        <v>93.623974872631948</v>
      </c>
      <c r="I92" s="407">
        <v>90.3</v>
      </c>
      <c r="J92" s="81">
        <v>117.27230358433256</v>
      </c>
      <c r="K92" s="163">
        <f>($E$14*E92+F$14*F92+$G$14*G92+$H$14*H92+$I$14*I92+$J$14*J92)/$K$14</f>
        <v>94.264976964171353</v>
      </c>
      <c r="L92" s="414">
        <v>100.2</v>
      </c>
      <c r="M92" s="407">
        <v>101.1</v>
      </c>
      <c r="N92" s="90">
        <f>($L$14*L92+$M$14*M92)/$N$14</f>
        <v>100.90169973461393</v>
      </c>
      <c r="O92" s="407">
        <v>104.6</v>
      </c>
      <c r="P92" s="407">
        <v>85.1</v>
      </c>
      <c r="Q92" s="407">
        <v>100</v>
      </c>
      <c r="R92" s="311">
        <v>99.6</v>
      </c>
      <c r="S92" s="449">
        <v>100.5</v>
      </c>
      <c r="T92" s="639"/>
    </row>
    <row r="93" spans="2:20" ht="12" hidden="1" customHeight="1">
      <c r="B93" s="259" t="s">
        <v>151</v>
      </c>
      <c r="C93" s="253" t="s">
        <v>151</v>
      </c>
      <c r="D93" s="311">
        <v>100.1</v>
      </c>
      <c r="E93" s="407">
        <v>89</v>
      </c>
      <c r="F93" s="407">
        <v>90.7</v>
      </c>
      <c r="G93" s="407">
        <v>89.7</v>
      </c>
      <c r="H93" s="407">
        <v>93.623974872631948</v>
      </c>
      <c r="I93" s="407">
        <v>90</v>
      </c>
      <c r="J93" s="81">
        <v>115.305153383817</v>
      </c>
      <c r="K93" s="163">
        <f t="shared" si="4"/>
        <v>94.117107531551255</v>
      </c>
      <c r="L93" s="414">
        <v>100.2</v>
      </c>
      <c r="M93" s="407">
        <v>99.2</v>
      </c>
      <c r="N93" s="90">
        <f t="shared" si="5"/>
        <v>99.420333628206748</v>
      </c>
      <c r="O93" s="407">
        <v>104</v>
      </c>
      <c r="P93" s="407">
        <v>87.2</v>
      </c>
      <c r="Q93" s="407">
        <v>100</v>
      </c>
      <c r="R93" s="311">
        <v>100.1</v>
      </c>
      <c r="S93" s="449">
        <v>100.6</v>
      </c>
      <c r="T93" s="639"/>
    </row>
    <row r="94" spans="2:20" s="88" customFormat="1" ht="12" hidden="1" customHeight="1">
      <c r="B94" s="265" t="s">
        <v>152</v>
      </c>
      <c r="C94" s="262" t="s">
        <v>152</v>
      </c>
      <c r="D94" s="311">
        <v>100.1</v>
      </c>
      <c r="E94" s="407">
        <v>87.2</v>
      </c>
      <c r="F94" s="407">
        <v>93.5</v>
      </c>
      <c r="G94" s="407">
        <v>87.6</v>
      </c>
      <c r="H94" s="407">
        <v>95.109002433090026</v>
      </c>
      <c r="I94" s="407">
        <v>88.2</v>
      </c>
      <c r="J94" s="90">
        <v>109.2504732581191</v>
      </c>
      <c r="K94" s="163">
        <f t="shared" si="4"/>
        <v>94.70413357683077</v>
      </c>
      <c r="L94" s="414">
        <v>100.2</v>
      </c>
      <c r="M94" s="407">
        <v>97.1</v>
      </c>
      <c r="N94" s="90">
        <f t="shared" si="5"/>
        <v>97.783034247440924</v>
      </c>
      <c r="O94" s="407">
        <v>105.1</v>
      </c>
      <c r="P94" s="407">
        <v>87.4</v>
      </c>
      <c r="Q94" s="407">
        <v>100</v>
      </c>
      <c r="R94" s="311">
        <v>100.1</v>
      </c>
      <c r="S94" s="449">
        <v>100.6</v>
      </c>
      <c r="T94" s="639"/>
    </row>
    <row r="95" spans="2:20" ht="12" hidden="1" customHeight="1">
      <c r="B95" s="259" t="s">
        <v>153</v>
      </c>
      <c r="C95" s="253" t="s">
        <v>153</v>
      </c>
      <c r="D95" s="311">
        <v>99.8</v>
      </c>
      <c r="E95" s="407">
        <v>85.5</v>
      </c>
      <c r="F95" s="407">
        <v>91.6</v>
      </c>
      <c r="G95" s="407">
        <v>87.6</v>
      </c>
      <c r="H95" s="407">
        <v>95.108869751374499</v>
      </c>
      <c r="I95" s="407">
        <v>88</v>
      </c>
      <c r="J95" s="81">
        <v>108.63467706437153</v>
      </c>
      <c r="K95" s="163">
        <f t="shared" si="4"/>
        <v>94.565200707087158</v>
      </c>
      <c r="L95" s="414">
        <v>100.2</v>
      </c>
      <c r="M95" s="407">
        <v>96.7</v>
      </c>
      <c r="N95" s="90">
        <f t="shared" si="5"/>
        <v>97.471167698723619</v>
      </c>
      <c r="O95" s="407">
        <v>105</v>
      </c>
      <c r="P95" s="407">
        <v>86.9</v>
      </c>
      <c r="Q95" s="407">
        <v>100</v>
      </c>
      <c r="R95" s="311">
        <v>99.8</v>
      </c>
      <c r="S95" s="449">
        <v>100.6</v>
      </c>
      <c r="T95" s="639"/>
    </row>
    <row r="96" spans="2:20" ht="12" hidden="1" customHeight="1">
      <c r="B96" s="259" t="s">
        <v>154</v>
      </c>
      <c r="C96" s="253" t="s">
        <v>154</v>
      </c>
      <c r="D96" s="311">
        <v>99.8</v>
      </c>
      <c r="E96" s="407">
        <v>84.1</v>
      </c>
      <c r="F96" s="407">
        <v>88</v>
      </c>
      <c r="G96" s="407">
        <v>85.9</v>
      </c>
      <c r="H96" s="407">
        <v>95.109002433090026</v>
      </c>
      <c r="I96" s="407">
        <v>86.4</v>
      </c>
      <c r="J96" s="81">
        <v>105.25656064906227</v>
      </c>
      <c r="K96" s="163">
        <f t="shared" si="4"/>
        <v>93.977661250214211</v>
      </c>
      <c r="L96" s="414">
        <v>100.1</v>
      </c>
      <c r="M96" s="407">
        <v>96.3</v>
      </c>
      <c r="N96" s="90">
        <f t="shared" si="5"/>
        <v>97.137267787185635</v>
      </c>
      <c r="O96" s="407">
        <v>103.8</v>
      </c>
      <c r="P96" s="407">
        <v>87.2</v>
      </c>
      <c r="Q96" s="407">
        <v>99.9</v>
      </c>
      <c r="R96" s="311">
        <v>99.8</v>
      </c>
      <c r="S96" s="449">
        <v>100.8</v>
      </c>
      <c r="T96" s="639"/>
    </row>
    <row r="97" spans="2:20" s="88" customFormat="1" ht="12" hidden="1" customHeight="1">
      <c r="B97" s="265" t="s">
        <v>155</v>
      </c>
      <c r="C97" s="262" t="s">
        <v>155</v>
      </c>
      <c r="D97" s="311">
        <v>99.8</v>
      </c>
      <c r="E97" s="407">
        <v>82.5</v>
      </c>
      <c r="F97" s="407">
        <v>87.5</v>
      </c>
      <c r="G97" s="407">
        <v>85.9</v>
      </c>
      <c r="H97" s="407">
        <v>93.425210500247644</v>
      </c>
      <c r="I97" s="407">
        <v>86.2</v>
      </c>
      <c r="J97" s="90">
        <v>106.21846961837981</v>
      </c>
      <c r="K97" s="163">
        <f t="shared" si="4"/>
        <v>92.721114841463816</v>
      </c>
      <c r="L97" s="414">
        <v>100.1</v>
      </c>
      <c r="M97" s="407">
        <v>96.2</v>
      </c>
      <c r="N97" s="90">
        <f t="shared" si="5"/>
        <v>97.05930115000632</v>
      </c>
      <c r="O97" s="407">
        <v>103.8</v>
      </c>
      <c r="P97" s="407">
        <v>86.9</v>
      </c>
      <c r="Q97" s="407">
        <v>99.9</v>
      </c>
      <c r="R97" s="311">
        <v>99.8</v>
      </c>
      <c r="S97" s="449">
        <v>100.7</v>
      </c>
      <c r="T97" s="639"/>
    </row>
    <row r="98" spans="2:20" s="88" customFormat="1" ht="12" hidden="1" customHeight="1">
      <c r="B98" s="265" t="s">
        <v>156</v>
      </c>
      <c r="C98" s="262" t="s">
        <v>156</v>
      </c>
      <c r="D98" s="311">
        <v>99.6</v>
      </c>
      <c r="E98" s="407">
        <v>82.2</v>
      </c>
      <c r="F98" s="407">
        <v>87.3</v>
      </c>
      <c r="G98" s="407">
        <v>86.7</v>
      </c>
      <c r="H98" s="407">
        <v>93.623837784371915</v>
      </c>
      <c r="I98" s="407">
        <v>85.5</v>
      </c>
      <c r="J98" s="90">
        <v>111.31726758499545</v>
      </c>
      <c r="K98" s="163">
        <f t="shared" si="4"/>
        <v>93.193624031504697</v>
      </c>
      <c r="L98" s="414">
        <v>100.1</v>
      </c>
      <c r="M98" s="407">
        <v>94.5</v>
      </c>
      <c r="N98" s="90">
        <f t="shared" si="5"/>
        <v>95.7338683179578</v>
      </c>
      <c r="O98" s="407">
        <v>105</v>
      </c>
      <c r="P98" s="407">
        <v>88.2</v>
      </c>
      <c r="Q98" s="407">
        <v>100</v>
      </c>
      <c r="R98" s="311">
        <v>99.6</v>
      </c>
      <c r="S98" s="449">
        <v>100.8</v>
      </c>
      <c r="T98" s="639"/>
    </row>
    <row r="99" spans="2:20" ht="12" hidden="1" customHeight="1">
      <c r="B99" s="389" t="s">
        <v>157</v>
      </c>
      <c r="C99" s="255" t="s">
        <v>157</v>
      </c>
      <c r="D99" s="390">
        <v>99.3</v>
      </c>
      <c r="E99" s="458">
        <v>82.4</v>
      </c>
      <c r="F99" s="458">
        <v>89.2</v>
      </c>
      <c r="G99" s="458">
        <v>89</v>
      </c>
      <c r="H99" s="458">
        <v>93.623289837880591</v>
      </c>
      <c r="I99" s="458">
        <v>87.8</v>
      </c>
      <c r="J99" s="82">
        <v>120.43006763971358</v>
      </c>
      <c r="K99" s="320">
        <f t="shared" si="4"/>
        <v>94.106924021148188</v>
      </c>
      <c r="L99" s="460">
        <v>100.1</v>
      </c>
      <c r="M99" s="458">
        <v>92.8</v>
      </c>
      <c r="N99" s="92">
        <f t="shared" si="5"/>
        <v>94.408435485909251</v>
      </c>
      <c r="O99" s="458">
        <v>105</v>
      </c>
      <c r="P99" s="458">
        <v>90.7</v>
      </c>
      <c r="Q99" s="458">
        <v>100</v>
      </c>
      <c r="R99" s="390">
        <v>99.3</v>
      </c>
      <c r="S99" s="462">
        <v>100.8</v>
      </c>
      <c r="T99" s="639"/>
    </row>
    <row r="100" spans="2:20" ht="12" hidden="1" customHeight="1">
      <c r="B100" s="337" t="s">
        <v>376</v>
      </c>
      <c r="C100" s="253" t="s">
        <v>377</v>
      </c>
      <c r="D100" s="378">
        <v>98.5</v>
      </c>
      <c r="E100" s="407">
        <v>82.8</v>
      </c>
      <c r="F100" s="407">
        <v>91.2</v>
      </c>
      <c r="G100" s="407">
        <v>91.8</v>
      </c>
      <c r="H100" s="407">
        <v>94.291349992606825</v>
      </c>
      <c r="I100" s="407">
        <v>90.2</v>
      </c>
      <c r="J100" s="388">
        <v>124.81944706926407</v>
      </c>
      <c r="K100" s="163">
        <f>($E$14*E100+F$14*F100+$G$14*G100+$H$14*H100+$I$14*I100+$J$14*J100)/$K$14</f>
        <v>95.319606642555385</v>
      </c>
      <c r="L100" s="414">
        <v>100.1</v>
      </c>
      <c r="M100" s="407">
        <v>92.5</v>
      </c>
      <c r="N100" s="90">
        <f t="shared" si="5"/>
        <v>94.174535574371291</v>
      </c>
      <c r="O100" s="407">
        <v>105</v>
      </c>
      <c r="P100" s="407">
        <v>93.4</v>
      </c>
      <c r="Q100" s="407">
        <v>99.9</v>
      </c>
      <c r="R100" s="378">
        <v>98.5</v>
      </c>
      <c r="S100" s="449">
        <v>100.6</v>
      </c>
      <c r="T100" s="639"/>
    </row>
    <row r="101" spans="2:20" ht="12" hidden="1" customHeight="1">
      <c r="B101" s="259" t="s">
        <v>147</v>
      </c>
      <c r="C101" s="253" t="s">
        <v>147</v>
      </c>
      <c r="D101" s="311">
        <v>98.4</v>
      </c>
      <c r="E101" s="407">
        <v>83.2</v>
      </c>
      <c r="F101" s="407">
        <v>94</v>
      </c>
      <c r="G101" s="407">
        <v>90.1</v>
      </c>
      <c r="H101" s="407">
        <v>94.391800856847397</v>
      </c>
      <c r="I101" s="407">
        <v>89.2</v>
      </c>
      <c r="J101" s="81">
        <v>122.00677270209945</v>
      </c>
      <c r="K101" s="163">
        <f>($E$14*E101+F$14*F101+$G$14*G101+$H$14*H101+$I$14*I101+$J$14*J101)/$K$14</f>
        <v>95.145228323578735</v>
      </c>
      <c r="L101" s="414">
        <v>100.1</v>
      </c>
      <c r="M101" s="407">
        <v>91.9</v>
      </c>
      <c r="N101" s="90">
        <f t="shared" si="5"/>
        <v>93.706735751295327</v>
      </c>
      <c r="O101" s="407">
        <v>105.3</v>
      </c>
      <c r="P101" s="407">
        <v>93.9</v>
      </c>
      <c r="Q101" s="407">
        <v>99.9</v>
      </c>
      <c r="R101" s="311">
        <v>98.4</v>
      </c>
      <c r="S101" s="449">
        <v>100.7</v>
      </c>
      <c r="T101" s="639"/>
    </row>
    <row r="102" spans="2:20" ht="12" hidden="1" customHeight="1">
      <c r="B102" s="259" t="s">
        <v>148</v>
      </c>
      <c r="C102" s="253" t="s">
        <v>148</v>
      </c>
      <c r="D102" s="311">
        <v>98.5</v>
      </c>
      <c r="E102" s="407">
        <v>83.9</v>
      </c>
      <c r="F102" s="407">
        <v>94</v>
      </c>
      <c r="G102" s="407">
        <v>89.9</v>
      </c>
      <c r="H102" s="407">
        <v>94.391875923190554</v>
      </c>
      <c r="I102" s="407">
        <v>89.6</v>
      </c>
      <c r="J102" s="81">
        <v>121.5425859480908</v>
      </c>
      <c r="K102" s="163">
        <f>($E$14*E102+F$14*F102+$G$14*G102+$H$14*H102+$I$14*I102+$J$14*J102)/$K$14</f>
        <v>95.12370587742052</v>
      </c>
      <c r="L102" s="414">
        <v>100.1</v>
      </c>
      <c r="M102" s="407">
        <v>91.9</v>
      </c>
      <c r="N102" s="90">
        <v>101.34162508909479</v>
      </c>
      <c r="O102" s="407">
        <v>105.4</v>
      </c>
      <c r="P102" s="407">
        <v>95</v>
      </c>
      <c r="Q102" s="407">
        <v>99.8</v>
      </c>
      <c r="R102" s="311">
        <v>98.5</v>
      </c>
      <c r="S102" s="449">
        <v>101.2</v>
      </c>
      <c r="T102" s="639"/>
    </row>
    <row r="103" spans="2:20" ht="12" hidden="1" customHeight="1">
      <c r="B103" s="259" t="s">
        <v>149</v>
      </c>
      <c r="C103" s="253" t="s">
        <v>149</v>
      </c>
      <c r="D103" s="311">
        <v>99.4</v>
      </c>
      <c r="E103" s="407">
        <v>83.5</v>
      </c>
      <c r="F103" s="407">
        <v>94.3</v>
      </c>
      <c r="G103" s="407">
        <v>89.4</v>
      </c>
      <c r="H103" s="407">
        <v>94.30058479532164</v>
      </c>
      <c r="I103" s="407">
        <v>89.3</v>
      </c>
      <c r="J103" s="81">
        <v>120.7</v>
      </c>
      <c r="K103" s="163">
        <f t="shared" ref="K103" si="6">($E$14*E103+F$14*F103+$G$14*G103+$H$14*H103+$I$14*I103+$J$14*J103)/$K$14</f>
        <v>94.953574096394505</v>
      </c>
      <c r="L103" s="414">
        <v>100.2</v>
      </c>
      <c r="M103" s="407">
        <v>91.8</v>
      </c>
      <c r="N103" s="90">
        <f t="shared" ref="N103" si="7">($L$14*L103+$M$14*M103)/$N$14</f>
        <v>93.650802476936676</v>
      </c>
      <c r="O103" s="407">
        <v>105.7</v>
      </c>
      <c r="P103" s="407">
        <v>95.3</v>
      </c>
      <c r="Q103" s="407">
        <v>99.6</v>
      </c>
      <c r="R103" s="311">
        <v>99.4</v>
      </c>
      <c r="S103" s="449">
        <v>101.2</v>
      </c>
      <c r="T103" s="639"/>
    </row>
    <row r="104" spans="2:20" ht="12" hidden="1" customHeight="1">
      <c r="B104" s="259" t="s">
        <v>150</v>
      </c>
      <c r="C104" s="253" t="s">
        <v>150</v>
      </c>
      <c r="D104" s="311">
        <v>99.9</v>
      </c>
      <c r="E104" s="407">
        <v>83.5</v>
      </c>
      <c r="F104" s="407">
        <v>92.4</v>
      </c>
      <c r="G104" s="407">
        <v>87.7</v>
      </c>
      <c r="H104" s="407">
        <v>94.200116993272886</v>
      </c>
      <c r="I104" s="407">
        <v>87.7</v>
      </c>
      <c r="J104" s="81">
        <v>121.86935019776743</v>
      </c>
      <c r="K104" s="163">
        <f>($E$14*E104+F$14*F104+$G$14*G104+$H$14*H104+$I$14*I104+$J$14*J104)/$K$14</f>
        <v>94.628500275817075</v>
      </c>
      <c r="L104" s="414">
        <v>100.2</v>
      </c>
      <c r="M104" s="407">
        <v>91.8</v>
      </c>
      <c r="N104" s="90">
        <f>($L$14*L104+$M$14*M104)/$N$14</f>
        <v>93.650802476936676</v>
      </c>
      <c r="O104" s="407">
        <v>104.1</v>
      </c>
      <c r="P104" s="407">
        <v>95.2</v>
      </c>
      <c r="Q104" s="407">
        <v>99.5</v>
      </c>
      <c r="R104" s="311">
        <v>99.9</v>
      </c>
      <c r="S104" s="449">
        <v>101.2</v>
      </c>
      <c r="T104" s="639"/>
    </row>
    <row r="105" spans="2:20" ht="12" hidden="1" customHeight="1">
      <c r="B105" s="259" t="s">
        <v>151</v>
      </c>
      <c r="C105" s="253" t="s">
        <v>151</v>
      </c>
      <c r="D105" s="311">
        <v>99.8</v>
      </c>
      <c r="E105" s="407">
        <v>83.6</v>
      </c>
      <c r="F105" s="407">
        <v>92.2</v>
      </c>
      <c r="G105" s="407">
        <v>88.6</v>
      </c>
      <c r="H105" s="407">
        <v>94.301519579193453</v>
      </c>
      <c r="I105" s="407">
        <v>88.2</v>
      </c>
      <c r="J105" s="81">
        <v>122.33888966467687</v>
      </c>
      <c r="K105" s="163">
        <f t="shared" ref="K105:K111" si="8">($E$14*E105+F$14*F105+$G$14*G105+$H$14*H105+$I$14*I105+$J$14*J105)/$K$14</f>
        <v>94.834692321407786</v>
      </c>
      <c r="L105" s="414">
        <v>100.2</v>
      </c>
      <c r="M105" s="407">
        <v>92.3</v>
      </c>
      <c r="N105" s="90">
        <f t="shared" ref="N105:N112" si="9">($L$14*L105+$M$14*M105)/$N$14</f>
        <v>94.04063566283331</v>
      </c>
      <c r="O105" s="407">
        <v>105.5</v>
      </c>
      <c r="P105" s="407">
        <v>94.6</v>
      </c>
      <c r="Q105" s="407">
        <v>99.5</v>
      </c>
      <c r="R105" s="311">
        <v>99.8</v>
      </c>
      <c r="S105" s="449">
        <v>101.1</v>
      </c>
      <c r="T105" s="639"/>
    </row>
    <row r="106" spans="2:20" s="88" customFormat="1" ht="12" hidden="1" customHeight="1">
      <c r="B106" s="265" t="s">
        <v>152</v>
      </c>
      <c r="C106" s="262" t="s">
        <v>152</v>
      </c>
      <c r="D106" s="311">
        <v>100</v>
      </c>
      <c r="E106" s="407">
        <v>83.5</v>
      </c>
      <c r="F106" s="407">
        <v>92.3</v>
      </c>
      <c r="G106" s="407">
        <v>88.3</v>
      </c>
      <c r="H106" s="407">
        <v>95.104598550938931</v>
      </c>
      <c r="I106" s="407">
        <v>88</v>
      </c>
      <c r="J106" s="90">
        <v>125.68106605621475</v>
      </c>
      <c r="K106" s="163">
        <f t="shared" si="8"/>
        <v>95.588225812801241</v>
      </c>
      <c r="L106" s="414">
        <v>100.2</v>
      </c>
      <c r="M106" s="407">
        <v>93.2</v>
      </c>
      <c r="N106" s="90">
        <f t="shared" si="9"/>
        <v>94.742335397447249</v>
      </c>
      <c r="O106" s="407">
        <v>105.7</v>
      </c>
      <c r="P106" s="407">
        <v>94.9</v>
      </c>
      <c r="Q106" s="407">
        <v>99.6</v>
      </c>
      <c r="R106" s="311">
        <v>100</v>
      </c>
      <c r="S106" s="449">
        <v>101.1</v>
      </c>
      <c r="T106" s="639"/>
    </row>
    <row r="107" spans="2:20" ht="12" hidden="1" customHeight="1">
      <c r="B107" s="259" t="s">
        <v>153</v>
      </c>
      <c r="C107" s="253" t="s">
        <v>153</v>
      </c>
      <c r="D107" s="311">
        <v>100</v>
      </c>
      <c r="E107" s="407">
        <v>84.1</v>
      </c>
      <c r="F107" s="407">
        <v>92.3</v>
      </c>
      <c r="G107" s="407">
        <v>88.4</v>
      </c>
      <c r="H107" s="407">
        <v>94.805547315336696</v>
      </c>
      <c r="I107" s="407">
        <v>88.3</v>
      </c>
      <c r="J107" s="81">
        <v>126.4308382214208</v>
      </c>
      <c r="K107" s="163">
        <f t="shared" si="8"/>
        <v>95.434559426132168</v>
      </c>
      <c r="L107" s="414">
        <v>100.2</v>
      </c>
      <c r="M107" s="407">
        <v>93.3</v>
      </c>
      <c r="N107" s="90">
        <f t="shared" si="9"/>
        <v>94.82030203462655</v>
      </c>
      <c r="O107" s="407">
        <v>105.8</v>
      </c>
      <c r="P107" s="407">
        <v>95</v>
      </c>
      <c r="Q107" s="407">
        <v>99.6</v>
      </c>
      <c r="R107" s="311">
        <v>100</v>
      </c>
      <c r="S107" s="449">
        <v>101.1</v>
      </c>
      <c r="T107" s="639"/>
    </row>
    <row r="108" spans="2:20" ht="12" hidden="1" customHeight="1">
      <c r="B108" s="259" t="s">
        <v>154</v>
      </c>
      <c r="C108" s="253" t="s">
        <v>154</v>
      </c>
      <c r="D108" s="311">
        <v>100.1</v>
      </c>
      <c r="E108" s="407">
        <v>84.2</v>
      </c>
      <c r="F108" s="407">
        <v>92.3</v>
      </c>
      <c r="G108" s="407">
        <v>87.9</v>
      </c>
      <c r="H108" s="407">
        <v>94.705774083419925</v>
      </c>
      <c r="I108" s="407">
        <v>87.9</v>
      </c>
      <c r="J108" s="81">
        <v>127.40456273462944</v>
      </c>
      <c r="K108" s="163">
        <f t="shared" si="8"/>
        <v>95.348196186236464</v>
      </c>
      <c r="L108" s="414">
        <v>100.2</v>
      </c>
      <c r="M108" s="407">
        <v>93.4</v>
      </c>
      <c r="N108" s="90">
        <f t="shared" si="9"/>
        <v>94.898268671805894</v>
      </c>
      <c r="O108" s="407">
        <v>105.8</v>
      </c>
      <c r="P108" s="407">
        <v>95.2</v>
      </c>
      <c r="Q108" s="407">
        <v>99.5</v>
      </c>
      <c r="R108" s="311">
        <v>100.1</v>
      </c>
      <c r="S108" s="449">
        <v>100.4</v>
      </c>
      <c r="T108" s="639"/>
    </row>
    <row r="109" spans="2:20" s="88" customFormat="1" ht="12" hidden="1" customHeight="1">
      <c r="B109" s="265" t="s">
        <v>155</v>
      </c>
      <c r="C109" s="262" t="s">
        <v>155</v>
      </c>
      <c r="D109" s="311">
        <v>99.6</v>
      </c>
      <c r="E109" s="407">
        <v>85.7</v>
      </c>
      <c r="F109" s="407">
        <v>90.6</v>
      </c>
      <c r="G109" s="407">
        <v>88.5</v>
      </c>
      <c r="H109" s="407">
        <v>94.903668356695491</v>
      </c>
      <c r="I109" s="407">
        <v>89.7</v>
      </c>
      <c r="J109" s="90">
        <v>131.45984459390257</v>
      </c>
      <c r="K109" s="163">
        <f t="shared" si="8"/>
        <v>95.804562009029439</v>
      </c>
      <c r="L109" s="414">
        <v>100.2</v>
      </c>
      <c r="M109" s="407">
        <v>93.4</v>
      </c>
      <c r="N109" s="90">
        <f t="shared" si="9"/>
        <v>94.898268671805894</v>
      </c>
      <c r="O109" s="407">
        <v>105.5</v>
      </c>
      <c r="P109" s="407">
        <v>96.2</v>
      </c>
      <c r="Q109" s="407">
        <v>99.5</v>
      </c>
      <c r="R109" s="311">
        <v>99.6</v>
      </c>
      <c r="S109" s="449">
        <v>100</v>
      </c>
      <c r="T109" s="639"/>
    </row>
    <row r="110" spans="2:20" s="88" customFormat="1" ht="12" hidden="1" customHeight="1">
      <c r="B110" s="265" t="s">
        <v>156</v>
      </c>
      <c r="C110" s="262" t="s">
        <v>156</v>
      </c>
      <c r="D110" s="311">
        <v>99.4</v>
      </c>
      <c r="E110" s="407">
        <v>85.9</v>
      </c>
      <c r="F110" s="407">
        <v>93.2</v>
      </c>
      <c r="G110" s="407">
        <v>88.6</v>
      </c>
      <c r="H110" s="407">
        <v>95.002188476998654</v>
      </c>
      <c r="I110" s="407">
        <v>90.5</v>
      </c>
      <c r="J110" s="90">
        <v>132.6</v>
      </c>
      <c r="K110" s="163">
        <f t="shared" si="8"/>
        <v>96.09392077321246</v>
      </c>
      <c r="L110" s="414">
        <v>100.2</v>
      </c>
      <c r="M110" s="407">
        <v>93.3</v>
      </c>
      <c r="N110" s="90">
        <f t="shared" si="9"/>
        <v>94.82030203462655</v>
      </c>
      <c r="O110" s="407">
        <v>105.7</v>
      </c>
      <c r="P110" s="407">
        <v>98.9</v>
      </c>
      <c r="Q110" s="407">
        <v>99.5</v>
      </c>
      <c r="R110" s="311">
        <v>99.4</v>
      </c>
      <c r="S110" s="449">
        <v>100</v>
      </c>
      <c r="T110" s="639"/>
    </row>
    <row r="111" spans="2:20" ht="12" hidden="1" customHeight="1">
      <c r="B111" s="443" t="s">
        <v>157</v>
      </c>
      <c r="C111" s="253" t="s">
        <v>157</v>
      </c>
      <c r="D111" s="444">
        <v>99.3</v>
      </c>
      <c r="E111" s="407">
        <v>89.4</v>
      </c>
      <c r="F111" s="407">
        <v>93.2</v>
      </c>
      <c r="G111" s="407">
        <v>91.3</v>
      </c>
      <c r="H111" s="407">
        <v>95.002188476998654</v>
      </c>
      <c r="I111" s="407">
        <v>90.8</v>
      </c>
      <c r="J111" s="81">
        <v>131.08441037892854</v>
      </c>
      <c r="K111" s="163">
        <f t="shared" si="8"/>
        <v>96.330575096978151</v>
      </c>
      <c r="L111" s="414">
        <v>100.2</v>
      </c>
      <c r="M111" s="407">
        <v>93.3</v>
      </c>
      <c r="N111" s="90">
        <f t="shared" si="9"/>
        <v>94.82030203462655</v>
      </c>
      <c r="O111" s="407">
        <v>105.5</v>
      </c>
      <c r="P111" s="407">
        <v>100.6</v>
      </c>
      <c r="Q111" s="407">
        <v>99.5</v>
      </c>
      <c r="R111" s="444">
        <v>99.3</v>
      </c>
      <c r="S111" s="449">
        <v>100.2</v>
      </c>
      <c r="T111" s="639"/>
    </row>
    <row r="112" spans="2:20" ht="12" hidden="1" customHeight="1">
      <c r="B112" s="258" t="s">
        <v>385</v>
      </c>
      <c r="C112" s="257" t="s">
        <v>386</v>
      </c>
      <c r="D112" s="338">
        <v>98.7</v>
      </c>
      <c r="E112" s="91">
        <v>89.8</v>
      </c>
      <c r="F112" s="91">
        <v>93.7</v>
      </c>
      <c r="G112" s="91">
        <v>92.4</v>
      </c>
      <c r="H112" s="91">
        <v>97.479407923378318</v>
      </c>
      <c r="I112" s="91">
        <v>91.1</v>
      </c>
      <c r="J112" s="251">
        <v>129.47965450810494</v>
      </c>
      <c r="K112" s="319">
        <f>($E$14*E112+F$14*F112+$G$14*G112+$H$14*H112+$I$14*I112+$J$14*J112)/$K$14</f>
        <v>98.248215046873639</v>
      </c>
      <c r="L112" s="317">
        <v>100.2</v>
      </c>
      <c r="M112" s="91">
        <v>93.2</v>
      </c>
      <c r="N112" s="91">
        <f t="shared" si="9"/>
        <v>94.742335397447249</v>
      </c>
      <c r="O112" s="91">
        <v>97.1</v>
      </c>
      <c r="P112" s="91">
        <v>101.4</v>
      </c>
      <c r="Q112" s="91">
        <v>99.4</v>
      </c>
      <c r="R112" s="338">
        <v>98.7</v>
      </c>
      <c r="S112" s="450">
        <v>100.3</v>
      </c>
      <c r="T112" s="639"/>
    </row>
    <row r="113" spans="2:20" ht="12" hidden="1" customHeight="1">
      <c r="B113" s="443" t="s">
        <v>147</v>
      </c>
      <c r="C113" s="253" t="s">
        <v>147</v>
      </c>
      <c r="D113" s="444">
        <v>99</v>
      </c>
      <c r="E113" s="90">
        <v>93.3</v>
      </c>
      <c r="F113" s="90">
        <v>93.7</v>
      </c>
      <c r="G113" s="90">
        <v>93.4</v>
      </c>
      <c r="H113" s="90">
        <v>97.380685946810061</v>
      </c>
      <c r="I113" s="90">
        <v>90.5</v>
      </c>
      <c r="J113" s="81">
        <v>126.815910737656</v>
      </c>
      <c r="K113" s="163">
        <f>($E$14*E113+F$14*F113+$G$14*G113+$H$14*H113+$I$14*I113+$J$14*J113)/$K$14</f>
        <v>98.138976887181968</v>
      </c>
      <c r="L113" s="318">
        <v>100.3</v>
      </c>
      <c r="M113" s="90">
        <v>93.1</v>
      </c>
      <c r="N113" s="90">
        <f>($L$14*L113+$M$14*M113)/$N$14</f>
        <v>94.686402123088584</v>
      </c>
      <c r="O113" s="90">
        <v>97.3</v>
      </c>
      <c r="P113" s="90">
        <v>102.3</v>
      </c>
      <c r="Q113" s="90">
        <v>99.4</v>
      </c>
      <c r="R113" s="444">
        <v>99</v>
      </c>
      <c r="S113" s="451">
        <v>100.3</v>
      </c>
      <c r="T113" s="639"/>
    </row>
    <row r="114" spans="2:20" ht="12" hidden="1" customHeight="1">
      <c r="B114" s="443" t="s">
        <v>148</v>
      </c>
      <c r="C114" s="253" t="s">
        <v>148</v>
      </c>
      <c r="D114" s="444">
        <v>98.7</v>
      </c>
      <c r="E114" s="90">
        <v>93.4</v>
      </c>
      <c r="F114" s="90">
        <v>93.8</v>
      </c>
      <c r="G114" s="90">
        <v>92.1</v>
      </c>
      <c r="H114" s="90">
        <v>97.380302149912836</v>
      </c>
      <c r="I114" s="90">
        <v>88.7</v>
      </c>
      <c r="J114" s="81">
        <v>124.0558650512026</v>
      </c>
      <c r="K114" s="163">
        <f>($E$14*E114+F$14*F114+$G$14*G114+$H$14*H114+$I$14*I114+$J$14*J114)/$K$14</f>
        <v>97.784832226938732</v>
      </c>
      <c r="L114" s="318">
        <v>100.3</v>
      </c>
      <c r="M114" s="90">
        <v>93.1</v>
      </c>
      <c r="N114" s="90">
        <f t="shared" ref="N114:N124" si="10">($L$14*L114+$M$14*M114)/$N$14</f>
        <v>94.686402123088584</v>
      </c>
      <c r="O114" s="90">
        <v>96.3</v>
      </c>
      <c r="P114" s="90">
        <v>102.8</v>
      </c>
      <c r="Q114" s="90">
        <v>99.4</v>
      </c>
      <c r="R114" s="444">
        <v>98.7</v>
      </c>
      <c r="S114" s="451">
        <v>100.4</v>
      </c>
      <c r="T114" s="639"/>
    </row>
    <row r="115" spans="2:20" ht="12" hidden="1" customHeight="1">
      <c r="B115" s="443" t="s">
        <v>149</v>
      </c>
      <c r="C115" s="253" t="s">
        <v>149</v>
      </c>
      <c r="D115" s="444">
        <v>98.9</v>
      </c>
      <c r="E115" s="90">
        <v>93.3</v>
      </c>
      <c r="F115" s="90">
        <v>93.8</v>
      </c>
      <c r="G115" s="90">
        <v>92.1</v>
      </c>
      <c r="H115" s="90">
        <v>98.636768484156434</v>
      </c>
      <c r="I115" s="90">
        <v>88.6</v>
      </c>
      <c r="J115" s="81">
        <v>125.60028595517809</v>
      </c>
      <c r="K115" s="163">
        <f>($E$14*E115+F$14*F115+$G$14*G115+$H$14*H115+$I$14*I115+$J$14*J115)/$K$14</f>
        <v>98.808721876772438</v>
      </c>
      <c r="L115" s="318">
        <v>100.3</v>
      </c>
      <c r="M115" s="90">
        <v>93.2</v>
      </c>
      <c r="N115" s="90">
        <f t="shared" si="10"/>
        <v>94.764368760267914</v>
      </c>
      <c r="O115" s="90">
        <v>96.5</v>
      </c>
      <c r="P115" s="90">
        <v>103</v>
      </c>
      <c r="Q115" s="90">
        <v>100.5</v>
      </c>
      <c r="R115" s="444">
        <v>98.9</v>
      </c>
      <c r="S115" s="451">
        <v>100.3</v>
      </c>
      <c r="T115" s="639"/>
    </row>
    <row r="116" spans="2:20" ht="12" hidden="1" customHeight="1">
      <c r="B116" s="443" t="s">
        <v>150</v>
      </c>
      <c r="C116" s="253" t="s">
        <v>150</v>
      </c>
      <c r="D116" s="444">
        <v>99.3</v>
      </c>
      <c r="E116" s="90">
        <v>92.3</v>
      </c>
      <c r="F116" s="90">
        <v>95.8</v>
      </c>
      <c r="G116" s="90">
        <v>92.2</v>
      </c>
      <c r="H116" s="90">
        <v>98.636768484156434</v>
      </c>
      <c r="I116" s="90">
        <v>88.7</v>
      </c>
      <c r="J116" s="81">
        <v>128.60337084936208</v>
      </c>
      <c r="K116" s="163">
        <f>($E$14*E116+F$14*F116+$G$14*G116+$H$14*H116+$I$14*I116+$J$14*J116)/$K$14</f>
        <v>99.061064544376777</v>
      </c>
      <c r="L116" s="318">
        <v>100.2</v>
      </c>
      <c r="M116" s="90">
        <v>93.2</v>
      </c>
      <c r="N116" s="90">
        <f t="shared" si="10"/>
        <v>94.742335397447249</v>
      </c>
      <c r="O116" s="90">
        <v>97.4</v>
      </c>
      <c r="P116" s="90">
        <v>104.5</v>
      </c>
      <c r="Q116" s="90">
        <v>100.7</v>
      </c>
      <c r="R116" s="444">
        <v>99.3</v>
      </c>
      <c r="S116" s="451">
        <v>100.3</v>
      </c>
      <c r="T116" s="639"/>
    </row>
    <row r="117" spans="2:20" ht="12" hidden="1" customHeight="1">
      <c r="B117" s="443" t="s">
        <v>151</v>
      </c>
      <c r="C117" s="253" t="s">
        <v>151</v>
      </c>
      <c r="D117" s="444">
        <v>99.5</v>
      </c>
      <c r="E117" s="90">
        <v>92.1</v>
      </c>
      <c r="F117" s="90">
        <v>98.6</v>
      </c>
      <c r="G117" s="90">
        <v>93.5</v>
      </c>
      <c r="H117" s="90">
        <v>98.736456996148902</v>
      </c>
      <c r="I117" s="90">
        <v>89.8</v>
      </c>
      <c r="J117" s="81">
        <v>127.2</v>
      </c>
      <c r="K117" s="163">
        <f t="shared" ref="K117:K123" si="11">($E$14*E117+F$14*F117+$G$14*G117+$H$14*H117+$I$14*I117+$J$14*J117)/$K$14</f>
        <v>99.346222239643041</v>
      </c>
      <c r="L117" s="318">
        <v>100.3</v>
      </c>
      <c r="M117" s="90">
        <v>93.7</v>
      </c>
      <c r="N117" s="90">
        <f t="shared" si="10"/>
        <v>95.154201946164548</v>
      </c>
      <c r="O117" s="90">
        <v>97.8</v>
      </c>
      <c r="P117" s="90">
        <v>106.6</v>
      </c>
      <c r="Q117" s="90">
        <v>101</v>
      </c>
      <c r="R117" s="444">
        <v>99.5</v>
      </c>
      <c r="S117" s="451">
        <v>100.5</v>
      </c>
      <c r="T117" s="639"/>
    </row>
    <row r="118" spans="2:20" s="88" customFormat="1" ht="12" hidden="1" customHeight="1">
      <c r="B118" s="395" t="s">
        <v>152</v>
      </c>
      <c r="C118" s="262" t="s">
        <v>152</v>
      </c>
      <c r="D118" s="444">
        <v>99.4</v>
      </c>
      <c r="E118" s="90">
        <v>92.3</v>
      </c>
      <c r="F118" s="90">
        <v>98</v>
      </c>
      <c r="G118" s="90">
        <v>93.6</v>
      </c>
      <c r="H118" s="90">
        <v>96.013456686291008</v>
      </c>
      <c r="I118" s="90">
        <v>89.9</v>
      </c>
      <c r="J118" s="90">
        <v>128.90786998208529</v>
      </c>
      <c r="K118" s="163">
        <f t="shared" si="11"/>
        <v>97.389167947664646</v>
      </c>
      <c r="L118" s="318">
        <v>100.2</v>
      </c>
      <c r="M118" s="90">
        <v>94.6</v>
      </c>
      <c r="N118" s="90">
        <f t="shared" si="10"/>
        <v>95.833868317957794</v>
      </c>
      <c r="O118" s="90">
        <v>97.8</v>
      </c>
      <c r="P118" s="90">
        <v>108.9</v>
      </c>
      <c r="Q118" s="90">
        <v>101.1</v>
      </c>
      <c r="R118" s="444">
        <v>99.4</v>
      </c>
      <c r="S118" s="451">
        <v>100.6</v>
      </c>
      <c r="T118" s="639"/>
    </row>
    <row r="119" spans="2:20" ht="12" hidden="1" customHeight="1">
      <c r="B119" s="443" t="s">
        <v>153</v>
      </c>
      <c r="C119" s="253" t="s">
        <v>153</v>
      </c>
      <c r="D119" s="444">
        <v>99.6</v>
      </c>
      <c r="E119" s="90">
        <v>96.1</v>
      </c>
      <c r="F119" s="90">
        <v>94.3</v>
      </c>
      <c r="G119" s="90">
        <v>94.3</v>
      </c>
      <c r="H119" s="90">
        <v>96.015132408575028</v>
      </c>
      <c r="I119" s="90">
        <v>90.9</v>
      </c>
      <c r="J119" s="81">
        <v>130.15547596707992</v>
      </c>
      <c r="K119" s="163">
        <f t="shared" si="11"/>
        <v>97.461744215504865</v>
      </c>
      <c r="L119" s="318">
        <v>100.2</v>
      </c>
      <c r="M119" s="90">
        <v>94.8</v>
      </c>
      <c r="N119" s="90">
        <f t="shared" si="10"/>
        <v>95.989801592316439</v>
      </c>
      <c r="O119" s="90">
        <v>98</v>
      </c>
      <c r="P119" s="90">
        <v>109</v>
      </c>
      <c r="Q119" s="90">
        <v>101.2</v>
      </c>
      <c r="R119" s="444">
        <v>99.6</v>
      </c>
      <c r="S119" s="451">
        <v>100.6</v>
      </c>
      <c r="T119" s="639"/>
    </row>
    <row r="120" spans="2:20" ht="12" hidden="1" customHeight="1">
      <c r="B120" s="443" t="s">
        <v>154</v>
      </c>
      <c r="C120" s="253" t="s">
        <v>154</v>
      </c>
      <c r="D120" s="444">
        <v>99.6</v>
      </c>
      <c r="E120" s="90">
        <v>96.9</v>
      </c>
      <c r="F120" s="90">
        <v>95</v>
      </c>
      <c r="G120" s="90">
        <v>93.3</v>
      </c>
      <c r="H120" s="90">
        <v>96.117922150658075</v>
      </c>
      <c r="I120" s="90">
        <v>92.3</v>
      </c>
      <c r="J120" s="81">
        <v>129.57162425209336</v>
      </c>
      <c r="K120" s="163">
        <f t="shared" si="11"/>
        <v>97.501967994972389</v>
      </c>
      <c r="L120" s="318">
        <v>100.2</v>
      </c>
      <c r="M120" s="90">
        <v>95.1</v>
      </c>
      <c r="N120" s="90">
        <f t="shared" si="10"/>
        <v>96.223701503854414</v>
      </c>
      <c r="O120" s="90">
        <v>97.3</v>
      </c>
      <c r="P120" s="90">
        <v>109.8</v>
      </c>
      <c r="Q120" s="90">
        <v>101.5</v>
      </c>
      <c r="R120" s="444">
        <v>99.6</v>
      </c>
      <c r="S120" s="451">
        <v>101</v>
      </c>
      <c r="T120" s="639"/>
    </row>
    <row r="121" spans="2:20" ht="12" hidden="1" customHeight="1">
      <c r="B121" s="395" t="s">
        <v>155</v>
      </c>
      <c r="C121" s="262" t="s">
        <v>155</v>
      </c>
      <c r="D121" s="444">
        <v>99.3</v>
      </c>
      <c r="E121" s="90">
        <v>98.1</v>
      </c>
      <c r="F121" s="90">
        <v>93.6</v>
      </c>
      <c r="G121" s="90">
        <v>93.9</v>
      </c>
      <c r="H121" s="90">
        <v>96.907344632768357</v>
      </c>
      <c r="I121" s="90">
        <v>93.5</v>
      </c>
      <c r="J121" s="90">
        <v>132.60335306380898</v>
      </c>
      <c r="K121" s="163">
        <f t="shared" si="11"/>
        <v>98.329329164403134</v>
      </c>
      <c r="L121" s="318">
        <v>100.3</v>
      </c>
      <c r="M121" s="90">
        <v>95.2</v>
      </c>
      <c r="N121" s="90">
        <f t="shared" si="10"/>
        <v>96.323701503854423</v>
      </c>
      <c r="O121" s="90">
        <v>95.4</v>
      </c>
      <c r="P121" s="90">
        <v>111.6</v>
      </c>
      <c r="Q121" s="90">
        <v>101.6</v>
      </c>
      <c r="R121" s="444">
        <v>99.3</v>
      </c>
      <c r="S121" s="451">
        <v>100.8</v>
      </c>
      <c r="T121" s="639"/>
    </row>
    <row r="122" spans="2:20" ht="12" hidden="1" customHeight="1">
      <c r="B122" s="395" t="s">
        <v>156</v>
      </c>
      <c r="C122" s="262" t="s">
        <v>156</v>
      </c>
      <c r="D122" s="444">
        <v>99.1</v>
      </c>
      <c r="E122" s="90">
        <v>99.4</v>
      </c>
      <c r="F122" s="90">
        <v>94.6</v>
      </c>
      <c r="G122" s="90">
        <v>94.1</v>
      </c>
      <c r="H122" s="90">
        <v>96.704299250459613</v>
      </c>
      <c r="I122" s="90">
        <v>93.7</v>
      </c>
      <c r="J122" s="90">
        <v>133.31586263525466</v>
      </c>
      <c r="K122" s="163">
        <f t="shared" si="11"/>
        <v>98.300009774014313</v>
      </c>
      <c r="L122" s="318">
        <v>100.3</v>
      </c>
      <c r="M122" s="90">
        <v>95.9</v>
      </c>
      <c r="N122" s="90">
        <f t="shared" si="10"/>
        <v>96.869467964109703</v>
      </c>
      <c r="O122" s="90">
        <v>96.6</v>
      </c>
      <c r="P122" s="90">
        <v>112.3</v>
      </c>
      <c r="Q122" s="90">
        <v>101.8</v>
      </c>
      <c r="R122" s="444">
        <v>99.1</v>
      </c>
      <c r="S122" s="451">
        <v>100.9</v>
      </c>
      <c r="T122" s="639"/>
    </row>
    <row r="123" spans="2:20" ht="12" hidden="1" customHeight="1">
      <c r="B123" s="492" t="s">
        <v>157</v>
      </c>
      <c r="C123" s="493" t="s">
        <v>157</v>
      </c>
      <c r="D123" s="494">
        <v>99</v>
      </c>
      <c r="E123" s="495">
        <v>99.9</v>
      </c>
      <c r="F123" s="495">
        <v>95.6</v>
      </c>
      <c r="G123" s="495">
        <v>95.1</v>
      </c>
      <c r="H123" s="495">
        <v>96.703960396039605</v>
      </c>
      <c r="I123" s="495">
        <v>94.6</v>
      </c>
      <c r="J123" s="496">
        <v>135.85391237614982</v>
      </c>
      <c r="K123" s="497">
        <f t="shared" si="11"/>
        <v>98.625155321522044</v>
      </c>
      <c r="L123" s="498">
        <v>100.3</v>
      </c>
      <c r="M123" s="495">
        <v>96.7</v>
      </c>
      <c r="N123" s="495">
        <f t="shared" si="10"/>
        <v>97.493201061544298</v>
      </c>
      <c r="O123" s="495">
        <v>97.4</v>
      </c>
      <c r="P123" s="495">
        <v>109.7</v>
      </c>
      <c r="Q123" s="495">
        <v>101.9</v>
      </c>
      <c r="R123" s="494">
        <v>99</v>
      </c>
      <c r="S123" s="497">
        <v>100.9</v>
      </c>
      <c r="T123" s="640"/>
    </row>
    <row r="124" spans="2:20" ht="12" hidden="1" customHeight="1">
      <c r="B124" s="439" t="s">
        <v>388</v>
      </c>
      <c r="C124" s="264" t="s">
        <v>389</v>
      </c>
      <c r="D124" s="499">
        <v>98.6</v>
      </c>
      <c r="E124" s="500">
        <v>99.4</v>
      </c>
      <c r="F124" s="500">
        <v>96.8</v>
      </c>
      <c r="G124" s="500">
        <v>97.9</v>
      </c>
      <c r="H124" s="500">
        <v>100.33478260869566</v>
      </c>
      <c r="I124" s="500">
        <v>94.9</v>
      </c>
      <c r="J124" s="501">
        <v>133.37046321013062</v>
      </c>
      <c r="K124" s="502">
        <f>($E$14*E124+F$14*F124+$G$14*G124+$H$14*H124+$I$14*I124+$J$14*J124)/$K$14</f>
        <v>101.54894001935332</v>
      </c>
      <c r="L124" s="503">
        <v>100.3</v>
      </c>
      <c r="M124" s="500">
        <v>97.3</v>
      </c>
      <c r="N124" s="500">
        <f t="shared" si="10"/>
        <v>97.961000884620248</v>
      </c>
      <c r="O124" s="500">
        <v>97.8</v>
      </c>
      <c r="P124" s="500">
        <v>106.1</v>
      </c>
      <c r="Q124" s="500">
        <v>101.9</v>
      </c>
      <c r="R124" s="499">
        <v>98.6</v>
      </c>
      <c r="S124" s="502">
        <v>100.9</v>
      </c>
      <c r="T124" s="490"/>
    </row>
    <row r="125" spans="2:20" ht="12" hidden="1" customHeight="1">
      <c r="B125" s="531" t="s">
        <v>390</v>
      </c>
      <c r="C125" s="262" t="s">
        <v>390</v>
      </c>
      <c r="D125" s="444">
        <v>98.6</v>
      </c>
      <c r="E125" s="90">
        <v>99.4</v>
      </c>
      <c r="F125" s="90">
        <v>95.9</v>
      </c>
      <c r="G125" s="90">
        <v>96.5</v>
      </c>
      <c r="H125" s="90">
        <v>100.23496801705757</v>
      </c>
      <c r="I125" s="90">
        <v>93.4</v>
      </c>
      <c r="J125" s="81">
        <v>135.6075405744248</v>
      </c>
      <c r="K125" s="163">
        <f>($E$14*E125+F$14*F125+$G$14*G125+$H$14*H125+$I$14*I125+$J$14*J125)/$K$14</f>
        <v>101.35893814201867</v>
      </c>
      <c r="L125" s="318">
        <v>100.3</v>
      </c>
      <c r="M125" s="90">
        <v>97.3</v>
      </c>
      <c r="N125" s="90">
        <f>($L$14*L125+$M$14*M125)/$N$14</f>
        <v>97.961000884620248</v>
      </c>
      <c r="O125" s="90">
        <v>98.5</v>
      </c>
      <c r="P125" s="90">
        <v>105</v>
      </c>
      <c r="Q125" s="90">
        <v>101.9</v>
      </c>
      <c r="R125" s="444">
        <v>98.6</v>
      </c>
      <c r="S125" s="451">
        <v>101</v>
      </c>
      <c r="T125" s="491"/>
    </row>
    <row r="126" spans="2:20" ht="12" hidden="1" customHeight="1">
      <c r="B126" s="531" t="s">
        <v>168</v>
      </c>
      <c r="C126" s="262" t="s">
        <v>168</v>
      </c>
      <c r="D126" s="444">
        <v>98.8</v>
      </c>
      <c r="E126" s="90">
        <v>100.7</v>
      </c>
      <c r="F126" s="90">
        <v>94.9</v>
      </c>
      <c r="G126" s="90">
        <v>97</v>
      </c>
      <c r="H126" s="90">
        <v>100.3346590909091</v>
      </c>
      <c r="I126" s="90">
        <v>93.7</v>
      </c>
      <c r="J126" s="81">
        <v>137.91084453465413</v>
      </c>
      <c r="K126" s="163">
        <f>($E$14*E126+F$14*F126+$G$14*G126+$H$14*H126+$I$14*I126+$J$14*J126)/$K$14</f>
        <v>101.59787242025642</v>
      </c>
      <c r="L126" s="318">
        <v>100.3</v>
      </c>
      <c r="M126" s="90">
        <v>97.4</v>
      </c>
      <c r="N126" s="90">
        <f t="shared" ref="N126:N135" si="12">($L$14*L126+$M$14*M126)/$N$14</f>
        <v>98.038967521799577</v>
      </c>
      <c r="O126" s="90">
        <v>98.8</v>
      </c>
      <c r="P126" s="90">
        <v>105.9</v>
      </c>
      <c r="Q126" s="90">
        <v>102</v>
      </c>
      <c r="R126" s="444">
        <v>98.8</v>
      </c>
      <c r="S126" s="451">
        <v>101.1</v>
      </c>
      <c r="T126" s="491"/>
    </row>
    <row r="127" spans="2:20" ht="12" hidden="1" customHeight="1">
      <c r="B127" s="531" t="s">
        <v>391</v>
      </c>
      <c r="C127" s="262" t="s">
        <v>391</v>
      </c>
      <c r="D127" s="444">
        <v>98.7</v>
      </c>
      <c r="E127" s="90">
        <v>100.8</v>
      </c>
      <c r="F127" s="90">
        <v>94.8</v>
      </c>
      <c r="G127" s="90">
        <v>97.3</v>
      </c>
      <c r="H127" s="90">
        <v>99.526802642918696</v>
      </c>
      <c r="I127" s="90">
        <v>94</v>
      </c>
      <c r="J127" s="81">
        <v>138.70175310593777</v>
      </c>
      <c r="K127" s="163">
        <f>($E$14*E127+F$14*F127+$G$14*G127+$H$14*H127+$I$14*I127+$J$14*J127)/$K$14</f>
        <v>101.07507670483569</v>
      </c>
      <c r="L127" s="318">
        <v>100.3</v>
      </c>
      <c r="M127" s="90">
        <v>97.4</v>
      </c>
      <c r="N127" s="90">
        <f t="shared" si="12"/>
        <v>98.038967521799577</v>
      </c>
      <c r="O127" s="90">
        <v>98.6</v>
      </c>
      <c r="P127" s="90">
        <v>107.1</v>
      </c>
      <c r="Q127" s="90">
        <v>102.9</v>
      </c>
      <c r="R127" s="444">
        <v>98.7</v>
      </c>
      <c r="S127" s="451">
        <v>101.1</v>
      </c>
      <c r="T127" s="491"/>
    </row>
    <row r="128" spans="2:20" ht="12" hidden="1" customHeight="1">
      <c r="B128" s="531" t="s">
        <v>160</v>
      </c>
      <c r="C128" s="262" t="s">
        <v>392</v>
      </c>
      <c r="D128" s="444">
        <v>98.6</v>
      </c>
      <c r="E128" s="90">
        <v>99.9</v>
      </c>
      <c r="F128" s="90">
        <v>94.7</v>
      </c>
      <c r="G128" s="90">
        <v>97.3</v>
      </c>
      <c r="H128" s="90">
        <v>99.427115964937499</v>
      </c>
      <c r="I128" s="90">
        <v>94.1</v>
      </c>
      <c r="J128" s="90">
        <v>137.58286565412484</v>
      </c>
      <c r="K128" s="163">
        <f>($E$14*E128+F$14*F128+$G$14*G128+$H$14*H128+$I$14*I128+$J$14*J128)/$K$14</f>
        <v>100.92823898787462</v>
      </c>
      <c r="L128" s="318">
        <v>100.3</v>
      </c>
      <c r="M128" s="90">
        <v>97.4</v>
      </c>
      <c r="N128" s="90">
        <f t="shared" si="12"/>
        <v>98.038967521799577</v>
      </c>
      <c r="O128" s="90">
        <v>98.6</v>
      </c>
      <c r="P128" s="90">
        <v>108.1</v>
      </c>
      <c r="Q128" s="90">
        <v>103.7</v>
      </c>
      <c r="R128" s="444">
        <v>98.6</v>
      </c>
      <c r="S128" s="451">
        <v>101.1</v>
      </c>
      <c r="T128" s="491"/>
    </row>
    <row r="129" spans="2:20" ht="12" hidden="1" customHeight="1">
      <c r="B129" s="531" t="s">
        <v>161</v>
      </c>
      <c r="C129" s="262" t="s">
        <v>161</v>
      </c>
      <c r="D129" s="444">
        <v>98.7</v>
      </c>
      <c r="E129" s="90">
        <v>99.2</v>
      </c>
      <c r="F129" s="90">
        <v>93.9</v>
      </c>
      <c r="G129" s="90">
        <v>96.5</v>
      </c>
      <c r="H129" s="90">
        <v>99.526802642918696</v>
      </c>
      <c r="I129" s="90">
        <v>93.3</v>
      </c>
      <c r="J129" s="90">
        <v>134.04545163583848</v>
      </c>
      <c r="K129" s="163">
        <f t="shared" ref="K129:K132" si="13">($E$14*E129+F$14*F129+$G$14*G129+$H$14*H129+$I$14*I129+$J$14*J129)/$K$14</f>
        <v>100.65223082948184</v>
      </c>
      <c r="L129" s="318">
        <v>100.3</v>
      </c>
      <c r="M129" s="90">
        <v>97.5</v>
      </c>
      <c r="N129" s="90">
        <f t="shared" si="12"/>
        <v>98.116934158978893</v>
      </c>
      <c r="O129" s="90">
        <v>97.8</v>
      </c>
      <c r="P129" s="90">
        <v>107.9</v>
      </c>
      <c r="Q129" s="90">
        <v>104.2</v>
      </c>
      <c r="R129" s="444">
        <v>98.7</v>
      </c>
      <c r="S129" s="451">
        <v>101</v>
      </c>
      <c r="T129" s="491"/>
    </row>
    <row r="130" spans="2:20" s="88" customFormat="1" ht="12" hidden="1" customHeight="1">
      <c r="B130" s="531" t="s">
        <v>393</v>
      </c>
      <c r="C130" s="262" t="s">
        <v>393</v>
      </c>
      <c r="D130" s="444">
        <v>99</v>
      </c>
      <c r="E130" s="90">
        <v>98.6</v>
      </c>
      <c r="F130" s="90">
        <v>100</v>
      </c>
      <c r="G130" s="90">
        <v>95.9</v>
      </c>
      <c r="H130" s="90">
        <v>99.228686635944698</v>
      </c>
      <c r="I130" s="90">
        <v>92.7</v>
      </c>
      <c r="J130" s="90">
        <v>133.18466622462302</v>
      </c>
      <c r="K130" s="163">
        <f t="shared" si="13"/>
        <v>100.53834375393976</v>
      </c>
      <c r="L130" s="318">
        <v>100.3</v>
      </c>
      <c r="M130" s="90">
        <v>97.7</v>
      </c>
      <c r="N130" s="90">
        <f t="shared" si="12"/>
        <v>98.272867433337538</v>
      </c>
      <c r="O130" s="90">
        <v>97.8</v>
      </c>
      <c r="P130" s="90">
        <v>107.5</v>
      </c>
      <c r="Q130" s="90">
        <v>104.3</v>
      </c>
      <c r="R130" s="444">
        <v>99</v>
      </c>
      <c r="S130" s="451">
        <v>101</v>
      </c>
      <c r="T130" s="491"/>
    </row>
    <row r="131" spans="2:20" ht="12" hidden="1" customHeight="1">
      <c r="B131" s="531" t="s">
        <v>394</v>
      </c>
      <c r="C131" s="262" t="s">
        <v>394</v>
      </c>
      <c r="D131" s="444">
        <v>99</v>
      </c>
      <c r="E131" s="90">
        <v>97.9</v>
      </c>
      <c r="F131" s="90">
        <v>102.7</v>
      </c>
      <c r="G131" s="90">
        <v>95.8</v>
      </c>
      <c r="H131" s="90">
        <v>99.229001584786047</v>
      </c>
      <c r="I131" s="90">
        <v>92.6</v>
      </c>
      <c r="J131" s="90">
        <v>129.17737830202844</v>
      </c>
      <c r="K131" s="163">
        <f t="shared" si="13"/>
        <v>100.40406157502466</v>
      </c>
      <c r="L131" s="318">
        <v>100.3</v>
      </c>
      <c r="M131" s="90">
        <v>97.8</v>
      </c>
      <c r="N131" s="90">
        <f t="shared" si="12"/>
        <v>98.350834070516868</v>
      </c>
      <c r="O131" s="90">
        <v>97.8</v>
      </c>
      <c r="P131" s="90">
        <v>106.7</v>
      </c>
      <c r="Q131" s="90">
        <v>104.5</v>
      </c>
      <c r="R131" s="444">
        <v>99</v>
      </c>
      <c r="S131" s="451">
        <v>100.9</v>
      </c>
      <c r="T131" s="491"/>
    </row>
    <row r="132" spans="2:20" ht="12" hidden="1" customHeight="1">
      <c r="B132" s="531" t="s">
        <v>164</v>
      </c>
      <c r="C132" s="262" t="s">
        <v>164</v>
      </c>
      <c r="D132" s="444">
        <v>98.9</v>
      </c>
      <c r="E132" s="90">
        <v>97.6</v>
      </c>
      <c r="F132" s="90">
        <v>99.3</v>
      </c>
      <c r="G132" s="90">
        <v>95.2</v>
      </c>
      <c r="H132" s="90">
        <v>99.228896571593197</v>
      </c>
      <c r="I132" s="90">
        <v>92.3</v>
      </c>
      <c r="J132" s="90">
        <v>128.52780280701487</v>
      </c>
      <c r="K132" s="163">
        <f t="shared" si="13"/>
        <v>100.15286536640372</v>
      </c>
      <c r="L132" s="318">
        <v>100.3</v>
      </c>
      <c r="M132" s="90">
        <v>97.9</v>
      </c>
      <c r="N132" s="90">
        <f t="shared" si="12"/>
        <v>98.428800707696197</v>
      </c>
      <c r="O132" s="90">
        <v>97.4</v>
      </c>
      <c r="P132" s="90">
        <v>105.7</v>
      </c>
      <c r="Q132" s="90">
        <v>104.6</v>
      </c>
      <c r="R132" s="444">
        <v>98.9</v>
      </c>
      <c r="S132" s="451">
        <v>101.4</v>
      </c>
      <c r="T132" s="491"/>
    </row>
    <row r="133" spans="2:20" ht="12" hidden="1" customHeight="1">
      <c r="B133" s="531" t="s">
        <v>165</v>
      </c>
      <c r="C133" s="262" t="s">
        <v>165</v>
      </c>
      <c r="D133" s="444">
        <v>100.4</v>
      </c>
      <c r="E133" s="90">
        <v>98.5</v>
      </c>
      <c r="F133" s="90">
        <v>96.4</v>
      </c>
      <c r="G133" s="90">
        <v>97</v>
      </c>
      <c r="H133" s="90">
        <v>100.32079772079771</v>
      </c>
      <c r="I133" s="90">
        <v>95.6</v>
      </c>
      <c r="J133" s="90">
        <v>128.97401619322716</v>
      </c>
      <c r="K133" s="163">
        <f t="shared" ref="K133:K135" si="14">($E$14*E133+F$14*F133+$G$14*G133+$H$14*H133+$I$14*I133+$J$14*J133)/$K$14</f>
        <v>101.20653370272062</v>
      </c>
      <c r="L133" s="318">
        <v>102.1</v>
      </c>
      <c r="M133" s="90">
        <v>99.7</v>
      </c>
      <c r="N133" s="90">
        <f t="shared" si="12"/>
        <v>100.22880070769619</v>
      </c>
      <c r="O133" s="90">
        <v>101.5</v>
      </c>
      <c r="P133" s="90">
        <v>106.1</v>
      </c>
      <c r="Q133" s="90">
        <v>107</v>
      </c>
      <c r="R133" s="444">
        <v>100.4</v>
      </c>
      <c r="S133" s="451">
        <v>102.8</v>
      </c>
      <c r="T133" s="491"/>
    </row>
    <row r="134" spans="2:20" ht="12" hidden="1" customHeight="1">
      <c r="B134" s="531" t="s">
        <v>166</v>
      </c>
      <c r="C134" s="262" t="s">
        <v>166</v>
      </c>
      <c r="D134" s="444">
        <v>100.2</v>
      </c>
      <c r="E134" s="90">
        <v>98.4</v>
      </c>
      <c r="F134" s="90">
        <v>97.1</v>
      </c>
      <c r="G134" s="90">
        <v>97.7</v>
      </c>
      <c r="H134" s="90">
        <v>100.51967003271227</v>
      </c>
      <c r="I134" s="90">
        <v>96.6</v>
      </c>
      <c r="J134" s="90">
        <v>129.95947223056356</v>
      </c>
      <c r="K134" s="163">
        <f t="shared" si="14"/>
        <v>101.55008424893806</v>
      </c>
      <c r="L134" s="318">
        <v>102.2</v>
      </c>
      <c r="M134" s="90">
        <v>99.6</v>
      </c>
      <c r="N134" s="90">
        <f t="shared" si="12"/>
        <v>100.17286743333754</v>
      </c>
      <c r="O134" s="90">
        <v>101.9</v>
      </c>
      <c r="P134" s="90">
        <v>107.6</v>
      </c>
      <c r="Q134" s="90">
        <v>107.3</v>
      </c>
      <c r="R134" s="444">
        <v>100.2</v>
      </c>
      <c r="S134" s="451">
        <v>102.5</v>
      </c>
      <c r="T134" s="491"/>
    </row>
    <row r="135" spans="2:20" ht="12" hidden="1" customHeight="1">
      <c r="B135" s="531" t="s">
        <v>167</v>
      </c>
      <c r="C135" s="262" t="s">
        <v>167</v>
      </c>
      <c r="D135" s="534">
        <v>99.7</v>
      </c>
      <c r="E135" s="90">
        <v>97.5</v>
      </c>
      <c r="F135" s="90">
        <v>98.7</v>
      </c>
      <c r="G135" s="90">
        <v>98.1</v>
      </c>
      <c r="H135" s="90">
        <v>100.41977240398293</v>
      </c>
      <c r="I135" s="90">
        <v>97</v>
      </c>
      <c r="J135" s="90">
        <v>129.3412237591107</v>
      </c>
      <c r="K135" s="163">
        <f t="shared" si="14"/>
        <v>101.55308492880172</v>
      </c>
      <c r="L135" s="318">
        <v>102.2</v>
      </c>
      <c r="M135" s="90">
        <v>99.2</v>
      </c>
      <c r="N135" s="90">
        <f t="shared" si="12"/>
        <v>99.861000884620253</v>
      </c>
      <c r="O135" s="90">
        <v>101.8</v>
      </c>
      <c r="P135" s="90">
        <v>107.9</v>
      </c>
      <c r="Q135" s="90">
        <v>107.4</v>
      </c>
      <c r="R135" s="534">
        <v>99.7</v>
      </c>
      <c r="S135" s="451">
        <v>102.5</v>
      </c>
      <c r="T135" s="491"/>
    </row>
    <row r="136" spans="2:20" ht="12" customHeight="1">
      <c r="B136" s="439" t="s">
        <v>395</v>
      </c>
      <c r="C136" s="264" t="s">
        <v>396</v>
      </c>
      <c r="D136" s="338">
        <v>99.9</v>
      </c>
      <c r="E136" s="91">
        <v>100</v>
      </c>
      <c r="F136" s="91">
        <v>101</v>
      </c>
      <c r="G136" s="91">
        <v>100.9</v>
      </c>
      <c r="H136" s="91">
        <v>100.40883522308938</v>
      </c>
      <c r="I136" s="91">
        <v>100.6</v>
      </c>
      <c r="J136" s="251">
        <v>130.64339994394842</v>
      </c>
      <c r="K136" s="319">
        <f>($E$15*E136+F$15*F136+$G$15*G136+$H$15*H136+$I$15*I136+$J$15*J136)/$K$15</f>
        <v>102.16935946459215</v>
      </c>
      <c r="L136" s="317">
        <v>99.9</v>
      </c>
      <c r="M136" s="91">
        <v>100.3</v>
      </c>
      <c r="N136" s="91">
        <f>($L$15*L136+$M$15*M136)/$N$15</f>
        <v>100.212</v>
      </c>
      <c r="O136" s="91">
        <v>99.4</v>
      </c>
      <c r="P136" s="91">
        <v>111</v>
      </c>
      <c r="Q136" s="91">
        <v>100</v>
      </c>
      <c r="R136" s="338">
        <v>99.9</v>
      </c>
      <c r="S136" s="319">
        <v>99.2</v>
      </c>
      <c r="T136" s="538"/>
    </row>
    <row r="137" spans="2:20" ht="12" customHeight="1">
      <c r="B137" s="531" t="s">
        <v>390</v>
      </c>
      <c r="C137" s="262" t="s">
        <v>390</v>
      </c>
      <c r="D137" s="534">
        <v>99.1</v>
      </c>
      <c r="E137" s="90">
        <v>99.3</v>
      </c>
      <c r="F137" s="90">
        <v>102</v>
      </c>
      <c r="G137" s="90">
        <v>101</v>
      </c>
      <c r="H137" s="90">
        <v>101.30875145857642</v>
      </c>
      <c r="I137" s="90">
        <v>100.6</v>
      </c>
      <c r="J137" s="81">
        <v>130.82811387861014</v>
      </c>
      <c r="K137" s="163">
        <f t="shared" ref="K137:K183" si="15">($E$15*E137+F$15*F137+$G$15*G137+$H$15*H137+$I$15*I137+$J$15*J137)/$K$15</f>
        <v>102.89846011464401</v>
      </c>
      <c r="L137" s="318">
        <v>99.9</v>
      </c>
      <c r="M137" s="90">
        <v>100.3</v>
      </c>
      <c r="N137" s="90">
        <f t="shared" ref="N137:N183" si="16">($L$15*L137+$M$15*M137)/$N$15</f>
        <v>100.212</v>
      </c>
      <c r="O137" s="90">
        <v>99.7</v>
      </c>
      <c r="P137" s="90">
        <v>109.4</v>
      </c>
      <c r="Q137" s="90">
        <v>100</v>
      </c>
      <c r="R137" s="534">
        <v>99.1</v>
      </c>
      <c r="S137" s="451">
        <v>99.2</v>
      </c>
      <c r="T137" s="491"/>
    </row>
    <row r="138" spans="2:20" ht="12" customHeight="1">
      <c r="B138" s="539" t="s">
        <v>148</v>
      </c>
      <c r="C138" s="253" t="s">
        <v>148</v>
      </c>
      <c r="D138" s="534">
        <v>99.8</v>
      </c>
      <c r="E138" s="90">
        <v>98.6</v>
      </c>
      <c r="F138" s="90">
        <v>103.4</v>
      </c>
      <c r="G138" s="90">
        <v>101.1</v>
      </c>
      <c r="H138" s="90">
        <v>101.40874253242023</v>
      </c>
      <c r="I138" s="90">
        <v>100.6</v>
      </c>
      <c r="J138" s="81">
        <v>129.6264627275211</v>
      </c>
      <c r="K138" s="163">
        <f t="shared" si="15"/>
        <v>102.9662682598525</v>
      </c>
      <c r="L138" s="318">
        <v>100</v>
      </c>
      <c r="M138" s="90">
        <v>100.3</v>
      </c>
      <c r="N138" s="90">
        <f t="shared" si="16"/>
        <v>100.23399999999999</v>
      </c>
      <c r="O138" s="90">
        <v>99.9</v>
      </c>
      <c r="P138" s="90">
        <v>106</v>
      </c>
      <c r="Q138" s="90">
        <v>100</v>
      </c>
      <c r="R138" s="534">
        <v>99.8</v>
      </c>
      <c r="S138" s="451">
        <v>99.2</v>
      </c>
      <c r="T138" s="491"/>
    </row>
    <row r="139" spans="2:20" ht="12" customHeight="1">
      <c r="B139" s="539" t="s">
        <v>149</v>
      </c>
      <c r="C139" s="253" t="s">
        <v>149</v>
      </c>
      <c r="D139" s="534">
        <v>100.2</v>
      </c>
      <c r="E139" s="90">
        <v>98.9</v>
      </c>
      <c r="F139" s="90">
        <v>101.2</v>
      </c>
      <c r="G139" s="90">
        <v>100</v>
      </c>
      <c r="H139" s="90">
        <v>99.108951215873489</v>
      </c>
      <c r="I139" s="90">
        <v>99.6</v>
      </c>
      <c r="J139" s="533">
        <v>131.0247128243812</v>
      </c>
      <c r="K139" s="163">
        <f t="shared" si="15"/>
        <v>101.07918403071496</v>
      </c>
      <c r="L139" s="318">
        <v>100.1</v>
      </c>
      <c r="M139" s="90">
        <v>100.5</v>
      </c>
      <c r="N139" s="90">
        <f t="shared" si="16"/>
        <v>100.41200000000001</v>
      </c>
      <c r="O139" s="90">
        <v>99.9</v>
      </c>
      <c r="P139" s="90">
        <v>97.2</v>
      </c>
      <c r="Q139" s="90">
        <v>99.9</v>
      </c>
      <c r="R139" s="534">
        <v>100.2</v>
      </c>
      <c r="S139" s="451">
        <v>99.7</v>
      </c>
      <c r="T139" s="491"/>
    </row>
    <row r="140" spans="2:20" ht="12" customHeight="1">
      <c r="B140" s="539" t="s">
        <v>150</v>
      </c>
      <c r="C140" s="253" t="s">
        <v>150</v>
      </c>
      <c r="D140" s="534">
        <v>100.4</v>
      </c>
      <c r="E140" s="90">
        <v>99.6</v>
      </c>
      <c r="F140" s="90">
        <v>98</v>
      </c>
      <c r="G140" s="90">
        <v>100.4</v>
      </c>
      <c r="H140" s="90">
        <v>99.908873114463177</v>
      </c>
      <c r="I140" s="90">
        <v>100.5</v>
      </c>
      <c r="J140" s="90">
        <v>128.47573703727201</v>
      </c>
      <c r="K140" s="163">
        <f t="shared" si="15"/>
        <v>101.49205373867198</v>
      </c>
      <c r="L140" s="318">
        <v>100.1</v>
      </c>
      <c r="M140" s="90">
        <v>100.5</v>
      </c>
      <c r="N140" s="90">
        <f t="shared" si="16"/>
        <v>100.41200000000001</v>
      </c>
      <c r="O140" s="90">
        <v>100.1</v>
      </c>
      <c r="P140" s="90">
        <v>92.6</v>
      </c>
      <c r="Q140" s="90">
        <v>100</v>
      </c>
      <c r="R140" s="534">
        <v>100.4</v>
      </c>
      <c r="S140" s="451">
        <v>99.7</v>
      </c>
      <c r="T140" s="491"/>
    </row>
    <row r="141" spans="2:20" ht="12" customHeight="1">
      <c r="B141" s="539" t="s">
        <v>151</v>
      </c>
      <c r="C141" s="253" t="s">
        <v>151</v>
      </c>
      <c r="D141" s="534">
        <v>100.5</v>
      </c>
      <c r="E141" s="90">
        <v>101.4</v>
      </c>
      <c r="F141" s="90">
        <v>94.8</v>
      </c>
      <c r="G141" s="90">
        <v>100.5</v>
      </c>
      <c r="H141" s="90">
        <v>99.808884940026658</v>
      </c>
      <c r="I141" s="90">
        <v>100.5</v>
      </c>
      <c r="J141" s="90">
        <v>129.32517764192869</v>
      </c>
      <c r="K141" s="163">
        <f t="shared" si="15"/>
        <v>101.36301177880853</v>
      </c>
      <c r="L141" s="318">
        <v>100.1</v>
      </c>
      <c r="M141" s="90">
        <v>100.2</v>
      </c>
      <c r="N141" s="90">
        <f t="shared" si="16"/>
        <v>100.178</v>
      </c>
      <c r="O141" s="90">
        <v>100.3</v>
      </c>
      <c r="P141" s="90">
        <v>94.9</v>
      </c>
      <c r="Q141" s="90">
        <v>100</v>
      </c>
      <c r="R141" s="534">
        <v>100.5</v>
      </c>
      <c r="S141" s="451">
        <v>99.9</v>
      </c>
      <c r="T141" s="491"/>
    </row>
    <row r="142" spans="2:20" s="88" customFormat="1" ht="12" customHeight="1">
      <c r="B142" s="531" t="s">
        <v>152</v>
      </c>
      <c r="C142" s="262" t="s">
        <v>152</v>
      </c>
      <c r="D142" s="534">
        <v>100.6</v>
      </c>
      <c r="E142" s="90">
        <v>102.2</v>
      </c>
      <c r="F142" s="90">
        <v>93.9</v>
      </c>
      <c r="G142" s="90">
        <v>100.1</v>
      </c>
      <c r="H142" s="90">
        <v>98.209034783918085</v>
      </c>
      <c r="I142" s="90">
        <v>100.2</v>
      </c>
      <c r="J142" s="90">
        <v>127.97141087079559</v>
      </c>
      <c r="K142" s="163">
        <f t="shared" si="15"/>
        <v>100.00602284772167</v>
      </c>
      <c r="L142" s="318">
        <v>100.1</v>
      </c>
      <c r="M142" s="90">
        <v>99.9</v>
      </c>
      <c r="N142" s="90">
        <f t="shared" si="16"/>
        <v>99.944000000000017</v>
      </c>
      <c r="O142" s="90">
        <v>100.3</v>
      </c>
      <c r="P142" s="90">
        <v>96.8</v>
      </c>
      <c r="Q142" s="90">
        <v>100</v>
      </c>
      <c r="R142" s="534">
        <v>100.6</v>
      </c>
      <c r="S142" s="451">
        <v>99.9</v>
      </c>
      <c r="T142" s="491"/>
    </row>
    <row r="143" spans="2:20" ht="12" customHeight="1">
      <c r="B143" s="539" t="s">
        <v>153</v>
      </c>
      <c r="C143" s="253" t="s">
        <v>153</v>
      </c>
      <c r="D143" s="534">
        <v>100.2</v>
      </c>
      <c r="E143" s="90">
        <v>101.2</v>
      </c>
      <c r="F143" s="90">
        <v>95.6</v>
      </c>
      <c r="G143" s="90">
        <v>100.1</v>
      </c>
      <c r="H143" s="90">
        <v>99.008953887479478</v>
      </c>
      <c r="I143" s="90">
        <v>100.2</v>
      </c>
      <c r="J143" s="90">
        <v>125.73976083188583</v>
      </c>
      <c r="K143" s="163">
        <f t="shared" si="15"/>
        <v>100.54085698315528</v>
      </c>
      <c r="L143" s="318">
        <v>100</v>
      </c>
      <c r="M143" s="90">
        <v>99.7</v>
      </c>
      <c r="N143" s="90">
        <f t="shared" si="16"/>
        <v>99.766000000000005</v>
      </c>
      <c r="O143" s="90">
        <v>100.3</v>
      </c>
      <c r="P143" s="90">
        <v>98.9</v>
      </c>
      <c r="Q143" s="90">
        <v>100</v>
      </c>
      <c r="R143" s="534">
        <v>100.2</v>
      </c>
      <c r="S143" s="451">
        <v>99.9</v>
      </c>
      <c r="T143" s="491"/>
    </row>
    <row r="144" spans="2:20" ht="12" customHeight="1">
      <c r="B144" s="539" t="s">
        <v>154</v>
      </c>
      <c r="C144" s="253" t="s">
        <v>154</v>
      </c>
      <c r="D144" s="534">
        <v>100.2</v>
      </c>
      <c r="E144" s="90">
        <v>100.4</v>
      </c>
      <c r="F144" s="90">
        <v>97</v>
      </c>
      <c r="G144" s="90">
        <v>99.5</v>
      </c>
      <c r="H144" s="90">
        <v>99.108951215873489</v>
      </c>
      <c r="I144" s="90">
        <v>99.7</v>
      </c>
      <c r="J144" s="90">
        <v>125.61122503279567</v>
      </c>
      <c r="K144" s="163">
        <f t="shared" si="15"/>
        <v>100.57635180575966</v>
      </c>
      <c r="L144" s="318">
        <v>100</v>
      </c>
      <c r="M144" s="90">
        <v>99.7</v>
      </c>
      <c r="N144" s="90">
        <f t="shared" si="16"/>
        <v>99.766000000000005</v>
      </c>
      <c r="O144" s="90">
        <v>100.4</v>
      </c>
      <c r="P144" s="90">
        <v>99.2</v>
      </c>
      <c r="Q144" s="90">
        <v>100</v>
      </c>
      <c r="R144" s="534">
        <v>100.2</v>
      </c>
      <c r="S144" s="451">
        <v>100.1</v>
      </c>
      <c r="T144" s="491"/>
    </row>
    <row r="145" spans="2:20" ht="12" customHeight="1">
      <c r="B145" s="531" t="s">
        <v>155</v>
      </c>
      <c r="C145" s="262" t="s">
        <v>155</v>
      </c>
      <c r="D145" s="534">
        <v>99.9</v>
      </c>
      <c r="E145" s="90">
        <v>99.7</v>
      </c>
      <c r="F145" s="90">
        <v>99</v>
      </c>
      <c r="G145" s="90">
        <v>99.1</v>
      </c>
      <c r="H145" s="90">
        <v>100.50882742386347</v>
      </c>
      <c r="I145" s="90">
        <v>99.1</v>
      </c>
      <c r="J145" s="90">
        <v>124.69216630282733</v>
      </c>
      <c r="K145" s="163">
        <f t="shared" si="15"/>
        <v>101.58505162173165</v>
      </c>
      <c r="L145" s="318">
        <v>100</v>
      </c>
      <c r="M145" s="90">
        <v>99.7</v>
      </c>
      <c r="N145" s="90">
        <f t="shared" si="16"/>
        <v>99.766000000000005</v>
      </c>
      <c r="O145" s="90">
        <v>99.4</v>
      </c>
      <c r="P145" s="90">
        <v>98.2</v>
      </c>
      <c r="Q145" s="90">
        <v>100</v>
      </c>
      <c r="R145" s="534">
        <v>99.9</v>
      </c>
      <c r="S145" s="451">
        <v>100.1</v>
      </c>
      <c r="T145" s="491"/>
    </row>
    <row r="146" spans="2:20" ht="12" customHeight="1">
      <c r="B146" s="531" t="s">
        <v>156</v>
      </c>
      <c r="C146" s="262" t="s">
        <v>156</v>
      </c>
      <c r="D146" s="534">
        <v>99.8</v>
      </c>
      <c r="E146" s="90">
        <v>99.8</v>
      </c>
      <c r="F146" s="90">
        <v>105.4</v>
      </c>
      <c r="G146" s="90">
        <v>99</v>
      </c>
      <c r="H146" s="90">
        <v>100.60881834215166</v>
      </c>
      <c r="I146" s="90">
        <v>99.4</v>
      </c>
      <c r="J146" s="90">
        <v>124.41553596338008</v>
      </c>
      <c r="K146" s="163">
        <f t="shared" si="15"/>
        <v>101.9100531219142</v>
      </c>
      <c r="L146" s="318">
        <v>100</v>
      </c>
      <c r="M146" s="90">
        <v>99.6</v>
      </c>
      <c r="N146" s="90">
        <f t="shared" si="16"/>
        <v>99.687999999999988</v>
      </c>
      <c r="O146" s="90">
        <v>99</v>
      </c>
      <c r="P146" s="90">
        <v>97.3</v>
      </c>
      <c r="Q146" s="90">
        <v>100</v>
      </c>
      <c r="R146" s="534">
        <v>99.8</v>
      </c>
      <c r="S146" s="451">
        <v>100</v>
      </c>
      <c r="T146" s="491"/>
    </row>
    <row r="147" spans="2:20" ht="12" customHeight="1">
      <c r="B147" s="389" t="s">
        <v>157</v>
      </c>
      <c r="C147" s="255" t="s">
        <v>157</v>
      </c>
      <c r="D147" s="390">
        <v>99.5</v>
      </c>
      <c r="E147" s="92">
        <v>99</v>
      </c>
      <c r="F147" s="92">
        <v>108.7</v>
      </c>
      <c r="G147" s="92">
        <v>98.4</v>
      </c>
      <c r="H147" s="92">
        <v>100.70880540064573</v>
      </c>
      <c r="I147" s="92">
        <v>99</v>
      </c>
      <c r="J147" s="92">
        <v>123.71740101724529</v>
      </c>
      <c r="K147" s="320">
        <f t="shared" si="15"/>
        <v>101.99570505070173</v>
      </c>
      <c r="L147" s="540">
        <v>100</v>
      </c>
      <c r="M147" s="92">
        <v>99.2</v>
      </c>
      <c r="N147" s="92">
        <f t="shared" si="16"/>
        <v>99.376000000000005</v>
      </c>
      <c r="O147" s="92">
        <v>101.1</v>
      </c>
      <c r="P147" s="92">
        <v>98.5</v>
      </c>
      <c r="Q147" s="92">
        <v>100.1</v>
      </c>
      <c r="R147" s="390">
        <v>99.5</v>
      </c>
      <c r="S147" s="541">
        <v>100</v>
      </c>
      <c r="T147" s="542"/>
    </row>
    <row r="148" spans="2:20" ht="12" customHeight="1">
      <c r="B148" s="531" t="s">
        <v>397</v>
      </c>
      <c r="C148" s="262" t="s">
        <v>398</v>
      </c>
      <c r="D148" s="534">
        <v>99.7</v>
      </c>
      <c r="E148" s="90">
        <v>98.4</v>
      </c>
      <c r="F148" s="90">
        <v>109</v>
      </c>
      <c r="G148" s="90">
        <v>97.8</v>
      </c>
      <c r="H148" s="90">
        <v>112.15434632869541</v>
      </c>
      <c r="I148" s="90">
        <v>99.5</v>
      </c>
      <c r="J148" s="543">
        <v>122.46641154084685</v>
      </c>
      <c r="K148" s="319">
        <f t="shared" si="15"/>
        <v>110.48398621816283</v>
      </c>
      <c r="L148" s="318">
        <v>99.9</v>
      </c>
      <c r="M148" s="90">
        <v>99.7</v>
      </c>
      <c r="N148" s="91">
        <f t="shared" si="16"/>
        <v>99.744000000000014</v>
      </c>
      <c r="O148" s="90">
        <v>98</v>
      </c>
      <c r="P148" s="90">
        <v>99.8</v>
      </c>
      <c r="Q148" s="90">
        <v>100</v>
      </c>
      <c r="R148" s="534">
        <v>99.7</v>
      </c>
      <c r="S148" s="163">
        <v>100.3</v>
      </c>
      <c r="T148" s="491"/>
    </row>
    <row r="149" spans="2:20" ht="12" customHeight="1">
      <c r="B149" s="531" t="s">
        <v>390</v>
      </c>
      <c r="C149" s="262" t="s">
        <v>390</v>
      </c>
      <c r="D149" s="444">
        <v>99.5</v>
      </c>
      <c r="E149" s="90">
        <v>98.5</v>
      </c>
      <c r="F149" s="90">
        <v>112.1</v>
      </c>
      <c r="G149" s="90">
        <v>97.7</v>
      </c>
      <c r="H149" s="90">
        <v>111.86629834254143</v>
      </c>
      <c r="I149" s="90">
        <v>99.5</v>
      </c>
      <c r="J149" s="90">
        <v>125.08672749848448</v>
      </c>
      <c r="K149" s="163">
        <f t="shared" si="15"/>
        <v>110.53153923983051</v>
      </c>
      <c r="L149" s="318">
        <v>100</v>
      </c>
      <c r="M149" s="90">
        <v>99.6</v>
      </c>
      <c r="N149" s="90">
        <f t="shared" si="16"/>
        <v>99.687999999999988</v>
      </c>
      <c r="O149" s="90">
        <v>98</v>
      </c>
      <c r="P149" s="90">
        <v>102.2</v>
      </c>
      <c r="Q149" s="90">
        <v>100</v>
      </c>
      <c r="R149" s="444">
        <v>99.5</v>
      </c>
      <c r="S149" s="451">
        <v>100.3</v>
      </c>
      <c r="T149" s="491"/>
    </row>
    <row r="150" spans="2:20" ht="12" customHeight="1">
      <c r="B150" s="443" t="s">
        <v>148</v>
      </c>
      <c r="C150" s="253" t="s">
        <v>148</v>
      </c>
      <c r="D150" s="444">
        <v>100.2</v>
      </c>
      <c r="E150" s="90">
        <v>98.5</v>
      </c>
      <c r="F150" s="90">
        <v>116.4</v>
      </c>
      <c r="G150" s="90">
        <v>99</v>
      </c>
      <c r="H150" s="90">
        <v>112.15685733976568</v>
      </c>
      <c r="I150" s="90">
        <v>101.6</v>
      </c>
      <c r="J150" s="90">
        <v>129.64204297522494</v>
      </c>
      <c r="K150" s="163">
        <f t="shared" si="15"/>
        <v>111.39703587230281</v>
      </c>
      <c r="L150" s="318">
        <v>99.9</v>
      </c>
      <c r="M150" s="90">
        <v>99.6</v>
      </c>
      <c r="N150" s="90">
        <f t="shared" si="16"/>
        <v>99.665999999999983</v>
      </c>
      <c r="O150" s="90">
        <v>97.8</v>
      </c>
      <c r="P150" s="90">
        <v>106.6</v>
      </c>
      <c r="Q150" s="90">
        <v>100</v>
      </c>
      <c r="R150" s="444">
        <v>100.2</v>
      </c>
      <c r="S150" s="451">
        <v>100.3</v>
      </c>
      <c r="T150" s="491"/>
    </row>
    <row r="151" spans="2:20" ht="12" customHeight="1">
      <c r="B151" s="443" t="s">
        <v>149</v>
      </c>
      <c r="C151" s="253" t="s">
        <v>149</v>
      </c>
      <c r="D151" s="444">
        <v>100.3</v>
      </c>
      <c r="E151" s="90">
        <v>100.1</v>
      </c>
      <c r="F151" s="90">
        <v>121.7</v>
      </c>
      <c r="G151" s="90">
        <v>102.6</v>
      </c>
      <c r="H151" s="90">
        <v>128.46725025746653</v>
      </c>
      <c r="I151" s="90">
        <v>103.7</v>
      </c>
      <c r="J151" s="533">
        <v>133.21665161710121</v>
      </c>
      <c r="K151" s="163">
        <f t="shared" si="15"/>
        <v>124.52168761691316</v>
      </c>
      <c r="L151" s="318">
        <v>99.9</v>
      </c>
      <c r="M151" s="90">
        <v>99.6</v>
      </c>
      <c r="N151" s="90">
        <f t="shared" si="16"/>
        <v>99.665999999999983</v>
      </c>
      <c r="O151" s="90">
        <v>99</v>
      </c>
      <c r="P151" s="90">
        <v>108.9</v>
      </c>
      <c r="Q151" s="90">
        <v>100</v>
      </c>
      <c r="R151" s="444">
        <v>100.3</v>
      </c>
      <c r="S151" s="451">
        <v>100.3</v>
      </c>
      <c r="T151" s="491"/>
    </row>
    <row r="152" spans="2:20" ht="12" customHeight="1">
      <c r="B152" s="443" t="s">
        <v>150</v>
      </c>
      <c r="C152" s="253" t="s">
        <v>150</v>
      </c>
      <c r="D152" s="444">
        <v>100.8</v>
      </c>
      <c r="E152" s="90">
        <v>101.8</v>
      </c>
      <c r="F152" s="90">
        <v>124.8</v>
      </c>
      <c r="G152" s="90">
        <v>102.6</v>
      </c>
      <c r="H152" s="90">
        <v>128.81282051282051</v>
      </c>
      <c r="I152" s="90">
        <v>104.6</v>
      </c>
      <c r="J152" s="533">
        <v>133.0123512473819</v>
      </c>
      <c r="K152" s="163">
        <f t="shared" si="15"/>
        <v>124.95254246993707</v>
      </c>
      <c r="L152" s="318">
        <v>99.9</v>
      </c>
      <c r="M152" s="90">
        <v>99.6</v>
      </c>
      <c r="N152" s="90">
        <f t="shared" si="16"/>
        <v>99.665999999999983</v>
      </c>
      <c r="O152" s="90">
        <v>99</v>
      </c>
      <c r="P152" s="90">
        <v>109.7</v>
      </c>
      <c r="Q152" s="90">
        <v>100</v>
      </c>
      <c r="R152" s="444">
        <v>100.8</v>
      </c>
      <c r="S152" s="451">
        <v>100.3</v>
      </c>
      <c r="T152" s="491"/>
    </row>
    <row r="153" spans="2:20" ht="12" customHeight="1">
      <c r="B153" s="443" t="s">
        <v>151</v>
      </c>
      <c r="C153" s="253" t="s">
        <v>151</v>
      </c>
      <c r="D153" s="444">
        <v>100.4</v>
      </c>
      <c r="E153" s="90">
        <v>104.2</v>
      </c>
      <c r="F153" s="90">
        <v>132.80000000000001</v>
      </c>
      <c r="G153" s="90">
        <v>102.6</v>
      </c>
      <c r="H153" s="90">
        <v>128.99421328895147</v>
      </c>
      <c r="I153" s="90">
        <v>104.7</v>
      </c>
      <c r="J153" s="533">
        <v>135.38374957971982</v>
      </c>
      <c r="K153" s="163">
        <f t="shared" si="15"/>
        <v>125.57822533277358</v>
      </c>
      <c r="L153" s="318">
        <v>99.9</v>
      </c>
      <c r="M153" s="90">
        <v>101.2</v>
      </c>
      <c r="N153" s="90">
        <f t="shared" si="16"/>
        <v>100.91400000000002</v>
      </c>
      <c r="O153" s="90">
        <v>99.2</v>
      </c>
      <c r="P153" s="90">
        <v>111.8</v>
      </c>
      <c r="Q153" s="90">
        <v>100</v>
      </c>
      <c r="R153" s="444">
        <v>100.4</v>
      </c>
      <c r="S153" s="451">
        <v>100.4</v>
      </c>
      <c r="T153" s="491"/>
    </row>
    <row r="154" spans="2:20" s="88" customFormat="1" ht="12" customHeight="1">
      <c r="B154" s="395" t="s">
        <v>152</v>
      </c>
      <c r="C154" s="262" t="s">
        <v>152</v>
      </c>
      <c r="D154" s="444">
        <v>100.5</v>
      </c>
      <c r="E154" s="90">
        <v>107.2</v>
      </c>
      <c r="F154" s="90">
        <v>137.30000000000001</v>
      </c>
      <c r="G154" s="90">
        <v>104.2</v>
      </c>
      <c r="H154" s="90">
        <v>137.84489055508524</v>
      </c>
      <c r="I154" s="90">
        <v>105.3</v>
      </c>
      <c r="J154" s="90">
        <v>138.24043586580962</v>
      </c>
      <c r="K154" s="163">
        <f t="shared" si="15"/>
        <v>132.78292818993657</v>
      </c>
      <c r="L154" s="318">
        <v>99.9</v>
      </c>
      <c r="M154" s="90">
        <v>103.8</v>
      </c>
      <c r="N154" s="90">
        <f t="shared" si="16"/>
        <v>102.94200000000001</v>
      </c>
      <c r="O154" s="90">
        <v>99.2</v>
      </c>
      <c r="P154" s="90">
        <v>115.1</v>
      </c>
      <c r="Q154" s="90">
        <v>100.1</v>
      </c>
      <c r="R154" s="444">
        <v>100.5</v>
      </c>
      <c r="S154" s="451">
        <v>100.5</v>
      </c>
      <c r="T154" s="491"/>
    </row>
    <row r="155" spans="2:20" ht="12" customHeight="1">
      <c r="B155" s="443" t="s">
        <v>153</v>
      </c>
      <c r="C155" s="253" t="s">
        <v>153</v>
      </c>
      <c r="D155" s="444">
        <v>100.8</v>
      </c>
      <c r="E155" s="90">
        <v>110.4</v>
      </c>
      <c r="F155" s="90">
        <v>140.19999999999999</v>
      </c>
      <c r="G155" s="90">
        <v>104.5</v>
      </c>
      <c r="H155" s="90">
        <v>137.93751964220959</v>
      </c>
      <c r="I155" s="90">
        <v>105.5</v>
      </c>
      <c r="J155" s="533">
        <v>137.63434618896022</v>
      </c>
      <c r="K155" s="163">
        <f t="shared" si="15"/>
        <v>133.01051543323348</v>
      </c>
      <c r="L155" s="318">
        <v>99.9</v>
      </c>
      <c r="M155" s="90">
        <v>104.4</v>
      </c>
      <c r="N155" s="90">
        <f t="shared" si="16"/>
        <v>103.41</v>
      </c>
      <c r="O155" s="90">
        <v>99.3</v>
      </c>
      <c r="P155" s="90">
        <v>115.3</v>
      </c>
      <c r="Q155" s="90">
        <v>100.2</v>
      </c>
      <c r="R155" s="90">
        <v>100.8</v>
      </c>
      <c r="S155" s="451">
        <v>100.5</v>
      </c>
      <c r="T155" s="491"/>
    </row>
    <row r="156" spans="2:20" ht="12" customHeight="1">
      <c r="B156" s="443" t="s">
        <v>154</v>
      </c>
      <c r="C156" s="253" t="s">
        <v>154</v>
      </c>
      <c r="D156" s="444">
        <v>100.9</v>
      </c>
      <c r="E156" s="90">
        <v>111.8</v>
      </c>
      <c r="F156" s="90">
        <v>138</v>
      </c>
      <c r="G156" s="90">
        <v>104.7</v>
      </c>
      <c r="H156" s="90">
        <v>137.84304715840386</v>
      </c>
      <c r="I156" s="90">
        <v>105.6</v>
      </c>
      <c r="J156" s="90">
        <v>137.85501956611827</v>
      </c>
      <c r="K156" s="163">
        <f t="shared" si="15"/>
        <v>132.9013414300851</v>
      </c>
      <c r="L156" s="318">
        <v>99.9</v>
      </c>
      <c r="M156" s="90">
        <v>104.6</v>
      </c>
      <c r="N156" s="90">
        <f t="shared" si="16"/>
        <v>103.56599999999999</v>
      </c>
      <c r="O156" s="90">
        <v>98.2</v>
      </c>
      <c r="P156" s="90">
        <v>115.7</v>
      </c>
      <c r="Q156" s="90">
        <v>100.2</v>
      </c>
      <c r="R156" s="90">
        <v>100.9</v>
      </c>
      <c r="S156" s="451">
        <v>100.7</v>
      </c>
      <c r="T156" s="491"/>
    </row>
    <row r="157" spans="2:20" ht="12" customHeight="1">
      <c r="B157" s="395" t="s">
        <v>155</v>
      </c>
      <c r="C157" s="262" t="s">
        <v>155</v>
      </c>
      <c r="D157" s="444">
        <v>100.4</v>
      </c>
      <c r="E157" s="90">
        <v>112.7</v>
      </c>
      <c r="F157" s="90">
        <v>137.4</v>
      </c>
      <c r="G157" s="90">
        <v>106.7</v>
      </c>
      <c r="H157" s="90">
        <v>131.54506574904755</v>
      </c>
      <c r="I157" s="90">
        <v>109.3</v>
      </c>
      <c r="J157" s="90">
        <v>142.02704524050725</v>
      </c>
      <c r="K157" s="163">
        <f t="shared" si="15"/>
        <v>128.74616565346381</v>
      </c>
      <c r="L157" s="318">
        <v>99.9</v>
      </c>
      <c r="M157" s="90">
        <v>104.8</v>
      </c>
      <c r="N157" s="90">
        <f t="shared" si="16"/>
        <v>103.72200000000001</v>
      </c>
      <c r="O157" s="90">
        <v>97.7</v>
      </c>
      <c r="P157" s="90">
        <v>118.7</v>
      </c>
      <c r="Q157" s="90">
        <v>100.3</v>
      </c>
      <c r="R157" s="90">
        <v>100.4</v>
      </c>
      <c r="S157" s="451">
        <v>101.3</v>
      </c>
      <c r="T157" s="491"/>
    </row>
    <row r="158" spans="2:20" ht="12" customHeight="1">
      <c r="B158" s="395" t="s">
        <v>156</v>
      </c>
      <c r="C158" s="262" t="s">
        <v>156</v>
      </c>
      <c r="D158" s="444">
        <v>100.7</v>
      </c>
      <c r="E158" s="90">
        <v>113.8</v>
      </c>
      <c r="F158" s="90">
        <v>139.5</v>
      </c>
      <c r="G158" s="90">
        <v>108.9</v>
      </c>
      <c r="H158" s="90">
        <v>131.36527948781088</v>
      </c>
      <c r="I158" s="90">
        <v>113.3</v>
      </c>
      <c r="J158" s="90">
        <v>150.03256928951072</v>
      </c>
      <c r="K158" s="163">
        <f t="shared" si="15"/>
        <v>129.54215532874758</v>
      </c>
      <c r="L158" s="318">
        <v>99.9</v>
      </c>
      <c r="M158" s="90">
        <v>106.6</v>
      </c>
      <c r="N158" s="90">
        <f>($L$15*L158+$M$15*M158)/$N$15</f>
        <v>105.12599999999999</v>
      </c>
      <c r="O158" s="90">
        <v>96.8</v>
      </c>
      <c r="P158" s="90">
        <v>122.8</v>
      </c>
      <c r="Q158" s="90">
        <v>100.2</v>
      </c>
      <c r="R158" s="90">
        <v>100.7</v>
      </c>
      <c r="S158" s="451">
        <v>101.4</v>
      </c>
      <c r="T158" s="491"/>
    </row>
    <row r="159" spans="2:20" s="88" customFormat="1" ht="12" customHeight="1">
      <c r="B159" s="531" t="s">
        <v>157</v>
      </c>
      <c r="C159" s="262" t="s">
        <v>157</v>
      </c>
      <c r="D159" s="534">
        <v>100.4</v>
      </c>
      <c r="E159" s="90">
        <v>114.4</v>
      </c>
      <c r="F159" s="90">
        <v>139.69999999999999</v>
      </c>
      <c r="G159" s="90">
        <v>109.5</v>
      </c>
      <c r="H159" s="90">
        <v>131.18421312284164</v>
      </c>
      <c r="I159" s="90">
        <v>113.6</v>
      </c>
      <c r="J159" s="90">
        <v>150.0701494642459</v>
      </c>
      <c r="K159" s="320">
        <f t="shared" si="15"/>
        <v>129.49566126968807</v>
      </c>
      <c r="L159" s="318">
        <v>100</v>
      </c>
      <c r="M159" s="90">
        <v>108.8</v>
      </c>
      <c r="N159" s="92">
        <f t="shared" si="16"/>
        <v>106.86399999999999</v>
      </c>
      <c r="O159" s="90">
        <v>99.3</v>
      </c>
      <c r="P159" s="90">
        <v>121.4</v>
      </c>
      <c r="Q159" s="90">
        <v>100.5</v>
      </c>
      <c r="R159" s="90">
        <v>100.4</v>
      </c>
      <c r="S159" s="451">
        <v>101.4</v>
      </c>
      <c r="T159" s="491"/>
    </row>
    <row r="160" spans="2:20" ht="12" customHeight="1">
      <c r="B160" s="439" t="s">
        <v>399</v>
      </c>
      <c r="C160" s="264" t="s">
        <v>400</v>
      </c>
      <c r="D160" s="338">
        <v>100.3</v>
      </c>
      <c r="E160" s="91">
        <v>115.9</v>
      </c>
      <c r="F160" s="91">
        <v>141.1</v>
      </c>
      <c r="G160" s="91">
        <v>113.5</v>
      </c>
      <c r="H160" s="91">
        <v>129.94769358472666</v>
      </c>
      <c r="I160" s="91">
        <v>113.9</v>
      </c>
      <c r="J160" s="537">
        <v>154.01144930247642</v>
      </c>
      <c r="K160" s="319">
        <f>($E$15*E160+F$15*F160+$G$15*G160+$H$15*H160+$I$15*I160+$J$15*J160)/$K$15</f>
        <v>129.27374355997893</v>
      </c>
      <c r="L160" s="91">
        <v>100.2</v>
      </c>
      <c r="M160" s="91">
        <v>110.5</v>
      </c>
      <c r="N160" s="91">
        <f t="shared" si="16"/>
        <v>108.23399999999999</v>
      </c>
      <c r="O160" s="91">
        <v>104.2</v>
      </c>
      <c r="P160" s="91">
        <v>123.3</v>
      </c>
      <c r="Q160" s="91">
        <v>100.6</v>
      </c>
      <c r="R160" s="338">
        <v>100.3</v>
      </c>
      <c r="S160" s="91">
        <v>101.4</v>
      </c>
      <c r="T160" s="538"/>
    </row>
    <row r="161" spans="2:20" s="88" customFormat="1" ht="12" customHeight="1">
      <c r="B161" s="531" t="s">
        <v>147</v>
      </c>
      <c r="C161" s="262" t="s">
        <v>147</v>
      </c>
      <c r="D161" s="311">
        <v>100.5</v>
      </c>
      <c r="E161" s="90">
        <v>116.3</v>
      </c>
      <c r="F161" s="90">
        <v>143.80000000000001</v>
      </c>
      <c r="G161" s="90">
        <v>114.3</v>
      </c>
      <c r="H161" s="90">
        <v>130.04690538297368</v>
      </c>
      <c r="I161" s="90">
        <v>115.3</v>
      </c>
      <c r="J161" s="90">
        <v>158.17747752093729</v>
      </c>
      <c r="K161" s="163">
        <f t="shared" si="15"/>
        <v>129.83354222911115</v>
      </c>
      <c r="L161" s="90">
        <v>100.3</v>
      </c>
      <c r="M161" s="90">
        <v>111.2</v>
      </c>
      <c r="N161" s="90">
        <f t="shared" si="16"/>
        <v>108.80200000000001</v>
      </c>
      <c r="O161" s="90">
        <v>109</v>
      </c>
      <c r="P161" s="90">
        <v>126.2</v>
      </c>
      <c r="Q161" s="90">
        <v>100.8</v>
      </c>
      <c r="R161" s="311">
        <v>100.5</v>
      </c>
      <c r="S161" s="90">
        <v>101.4</v>
      </c>
      <c r="T161" s="491"/>
    </row>
    <row r="162" spans="2:20" ht="12" customHeight="1">
      <c r="B162" s="539" t="s">
        <v>148</v>
      </c>
      <c r="C162" s="253" t="s">
        <v>148</v>
      </c>
      <c r="D162" s="311">
        <v>100.7</v>
      </c>
      <c r="E162" s="90">
        <v>116.2</v>
      </c>
      <c r="F162" s="90">
        <v>147.4</v>
      </c>
      <c r="G162" s="90">
        <v>116.5</v>
      </c>
      <c r="H162" s="90">
        <v>130.14060649135277</v>
      </c>
      <c r="I162" s="90">
        <v>116.1</v>
      </c>
      <c r="J162" s="90">
        <v>164.70127502423182</v>
      </c>
      <c r="K162" s="163">
        <f t="shared" si="15"/>
        <v>130.66707506885064</v>
      </c>
      <c r="L162" s="90">
        <v>100.3</v>
      </c>
      <c r="M162" s="90">
        <v>112.1</v>
      </c>
      <c r="N162" s="90">
        <f t="shared" si="16"/>
        <v>109.50399999999999</v>
      </c>
      <c r="O162" s="90">
        <v>109</v>
      </c>
      <c r="P162" s="90">
        <v>129.1</v>
      </c>
      <c r="Q162" s="90">
        <v>100.9</v>
      </c>
      <c r="R162" s="311">
        <v>100.7</v>
      </c>
      <c r="S162" s="90">
        <v>101.4</v>
      </c>
      <c r="T162" s="491"/>
    </row>
    <row r="163" spans="2:20" ht="12" customHeight="1">
      <c r="B163" s="539" t="s">
        <v>149</v>
      </c>
      <c r="C163" s="253" t="s">
        <v>149</v>
      </c>
      <c r="D163" s="311">
        <v>101.6</v>
      </c>
      <c r="E163" s="90">
        <v>119.3</v>
      </c>
      <c r="F163" s="90">
        <v>157.6</v>
      </c>
      <c r="G163" s="90">
        <v>118.3</v>
      </c>
      <c r="H163" s="90">
        <v>141.0145465519843</v>
      </c>
      <c r="I163" s="90">
        <v>119.7</v>
      </c>
      <c r="J163" s="533">
        <v>179.34717859570577</v>
      </c>
      <c r="K163" s="163">
        <f t="shared" si="15"/>
        <v>140.42643769706257</v>
      </c>
      <c r="L163" s="90">
        <v>100.5</v>
      </c>
      <c r="M163" s="90">
        <v>112.8</v>
      </c>
      <c r="N163" s="90">
        <f t="shared" si="16"/>
        <v>110.09399999999999</v>
      </c>
      <c r="O163" s="90">
        <v>109.2</v>
      </c>
      <c r="P163" s="90">
        <v>128.69999999999999</v>
      </c>
      <c r="Q163" s="90">
        <v>101.4</v>
      </c>
      <c r="R163" s="311">
        <v>101.6</v>
      </c>
      <c r="S163" s="90">
        <v>101.5</v>
      </c>
      <c r="T163" s="491"/>
    </row>
    <row r="164" spans="2:20" ht="12" customHeight="1">
      <c r="B164" s="539" t="s">
        <v>150</v>
      </c>
      <c r="C164" s="253" t="s">
        <v>150</v>
      </c>
      <c r="D164" s="311">
        <v>101.6</v>
      </c>
      <c r="E164" s="90">
        <v>120.4</v>
      </c>
      <c r="F164" s="90">
        <v>169.5</v>
      </c>
      <c r="G164" s="90">
        <v>123.5</v>
      </c>
      <c r="H164" s="90">
        <v>141.19985682528917</v>
      </c>
      <c r="I164" s="90">
        <v>125.1</v>
      </c>
      <c r="J164" s="533">
        <v>189.17444990888328</v>
      </c>
      <c r="K164" s="163">
        <f t="shared" si="15"/>
        <v>142.35769034121594</v>
      </c>
      <c r="L164" s="90">
        <v>100.5</v>
      </c>
      <c r="M164" s="90">
        <v>112.7</v>
      </c>
      <c r="N164" s="90">
        <f t="shared" si="16"/>
        <v>110.01600000000001</v>
      </c>
      <c r="O164" s="90">
        <v>109.1</v>
      </c>
      <c r="P164" s="90">
        <v>127</v>
      </c>
      <c r="Q164" s="90">
        <v>101.9</v>
      </c>
      <c r="R164" s="311">
        <v>101.6</v>
      </c>
      <c r="S164" s="90">
        <v>101.5</v>
      </c>
      <c r="T164" s="491"/>
    </row>
    <row r="165" spans="2:20" ht="12" customHeight="1">
      <c r="B165" s="539" t="s">
        <v>151</v>
      </c>
      <c r="C165" s="253" t="s">
        <v>151</v>
      </c>
      <c r="D165" s="311">
        <v>101.8</v>
      </c>
      <c r="E165" s="90">
        <v>124.5</v>
      </c>
      <c r="F165" s="90">
        <v>179</v>
      </c>
      <c r="G165" s="90">
        <v>124.4</v>
      </c>
      <c r="H165" s="90">
        <v>141.37855504155854</v>
      </c>
      <c r="I165" s="90">
        <v>127</v>
      </c>
      <c r="J165" s="533">
        <v>193.33104334685319</v>
      </c>
      <c r="K165" s="163">
        <f t="shared" si="15"/>
        <v>143.32586699230708</v>
      </c>
      <c r="L165" s="90">
        <v>100.6</v>
      </c>
      <c r="M165" s="90">
        <v>129.6</v>
      </c>
      <c r="N165" s="90">
        <f t="shared" si="16"/>
        <v>123.22</v>
      </c>
      <c r="O165" s="90">
        <v>109.9</v>
      </c>
      <c r="P165" s="90">
        <v>128.30000000000001</v>
      </c>
      <c r="Q165" s="90">
        <v>102.4</v>
      </c>
      <c r="R165" s="311">
        <v>101.8</v>
      </c>
      <c r="S165" s="90">
        <v>101.7</v>
      </c>
      <c r="T165" s="491"/>
    </row>
    <row r="166" spans="2:20" s="88" customFormat="1" ht="12" customHeight="1">
      <c r="B166" s="531" t="s">
        <v>152</v>
      </c>
      <c r="C166" s="262" t="s">
        <v>152</v>
      </c>
      <c r="D166" s="311">
        <v>101.9</v>
      </c>
      <c r="E166" s="90">
        <v>126.9</v>
      </c>
      <c r="F166" s="90">
        <v>180.8</v>
      </c>
      <c r="G166" s="90">
        <v>128.1</v>
      </c>
      <c r="H166" s="90">
        <v>163.52342342342342</v>
      </c>
      <c r="I166" s="90">
        <v>131.6</v>
      </c>
      <c r="J166" s="90">
        <v>199.83014264864192</v>
      </c>
      <c r="K166" s="163">
        <f t="shared" si="15"/>
        <v>160.97282999887418</v>
      </c>
      <c r="L166" s="90">
        <v>100.8</v>
      </c>
      <c r="M166" s="90">
        <v>142.19999999999999</v>
      </c>
      <c r="N166" s="90">
        <f t="shared" si="16"/>
        <v>133.09199999999998</v>
      </c>
      <c r="O166" s="90">
        <v>110</v>
      </c>
      <c r="P166" s="90">
        <v>128.80000000000001</v>
      </c>
      <c r="Q166" s="90">
        <v>102.9</v>
      </c>
      <c r="R166" s="311">
        <v>101.9</v>
      </c>
      <c r="S166" s="90">
        <v>101.7</v>
      </c>
      <c r="T166" s="491"/>
    </row>
    <row r="167" spans="2:20" ht="12" customHeight="1">
      <c r="B167" s="539" t="s">
        <v>153</v>
      </c>
      <c r="C167" s="253" t="s">
        <v>153</v>
      </c>
      <c r="D167" s="311">
        <v>102.1</v>
      </c>
      <c r="E167" s="90">
        <v>128.1</v>
      </c>
      <c r="F167" s="90">
        <v>182</v>
      </c>
      <c r="G167" s="90">
        <v>130.6</v>
      </c>
      <c r="H167" s="533">
        <v>163.97125748502992</v>
      </c>
      <c r="I167" s="90">
        <v>133.69999999999999</v>
      </c>
      <c r="J167" s="533">
        <v>200.46246802358678</v>
      </c>
      <c r="K167" s="163">
        <f t="shared" si="15"/>
        <v>161.74439967963036</v>
      </c>
      <c r="L167" s="90">
        <v>101</v>
      </c>
      <c r="M167" s="90">
        <v>144.5</v>
      </c>
      <c r="N167" s="90">
        <f t="shared" si="16"/>
        <v>134.93</v>
      </c>
      <c r="O167" s="90">
        <v>109.8</v>
      </c>
      <c r="P167" s="90">
        <v>127.9</v>
      </c>
      <c r="Q167" s="90">
        <v>103.3</v>
      </c>
      <c r="R167" s="311">
        <v>102.1</v>
      </c>
      <c r="S167" s="90">
        <v>101.7</v>
      </c>
      <c r="T167" s="491"/>
    </row>
    <row r="168" spans="2:20" ht="12" customHeight="1">
      <c r="B168" s="539" t="s">
        <v>154</v>
      </c>
      <c r="C168" s="253" t="s">
        <v>154</v>
      </c>
      <c r="D168" s="311">
        <v>102</v>
      </c>
      <c r="E168" s="90">
        <v>131.6</v>
      </c>
      <c r="F168" s="90">
        <v>173.7</v>
      </c>
      <c r="G168" s="90">
        <v>129.1</v>
      </c>
      <c r="H168" s="90">
        <v>163.97125748502992</v>
      </c>
      <c r="I168" s="90">
        <v>132.6</v>
      </c>
      <c r="J168" s="90">
        <v>216.52593568198131</v>
      </c>
      <c r="K168" s="163">
        <f t="shared" si="15"/>
        <v>162.14132077945095</v>
      </c>
      <c r="L168" s="90">
        <v>101.4</v>
      </c>
      <c r="M168" s="90">
        <v>144.9</v>
      </c>
      <c r="N168" s="90">
        <f t="shared" si="16"/>
        <v>135.33000000000001</v>
      </c>
      <c r="O168" s="90">
        <v>115.3</v>
      </c>
      <c r="P168" s="90">
        <v>128.19999999999999</v>
      </c>
      <c r="Q168" s="90">
        <v>104.7</v>
      </c>
      <c r="R168" s="311">
        <v>102</v>
      </c>
      <c r="S168" s="90">
        <v>102.2</v>
      </c>
      <c r="T168" s="491"/>
    </row>
    <row r="169" spans="2:20" ht="12" customHeight="1">
      <c r="B169" s="531" t="s">
        <v>155</v>
      </c>
      <c r="C169" s="262" t="s">
        <v>155</v>
      </c>
      <c r="D169" s="311">
        <v>101.7</v>
      </c>
      <c r="E169" s="90">
        <v>139.30000000000001</v>
      </c>
      <c r="F169" s="90">
        <v>173.9</v>
      </c>
      <c r="G169" s="90">
        <v>133.5</v>
      </c>
      <c r="H169" s="90">
        <v>155.68968253968254</v>
      </c>
      <c r="I169" s="90">
        <v>139.1</v>
      </c>
      <c r="J169" s="90">
        <v>227.21399707342877</v>
      </c>
      <c r="K169" s="163">
        <f t="shared" si="15"/>
        <v>157.32396285229035</v>
      </c>
      <c r="L169" s="90">
        <v>101.7</v>
      </c>
      <c r="M169" s="90">
        <v>145.1</v>
      </c>
      <c r="N169" s="90">
        <f t="shared" si="16"/>
        <v>135.55199999999999</v>
      </c>
      <c r="O169" s="90">
        <v>116.3</v>
      </c>
      <c r="P169" s="90">
        <v>127.1</v>
      </c>
      <c r="Q169" s="90">
        <v>106.1</v>
      </c>
      <c r="R169" s="90">
        <v>101.7</v>
      </c>
      <c r="S169" s="90">
        <v>102.8</v>
      </c>
      <c r="T169" s="491"/>
    </row>
    <row r="170" spans="2:20" ht="12" customHeight="1">
      <c r="B170" s="531" t="s">
        <v>156</v>
      </c>
      <c r="C170" s="262" t="s">
        <v>156</v>
      </c>
      <c r="D170" s="311">
        <v>101.8</v>
      </c>
      <c r="E170" s="90">
        <v>148.5</v>
      </c>
      <c r="F170" s="90">
        <v>184.6</v>
      </c>
      <c r="G170" s="90">
        <v>136.1</v>
      </c>
      <c r="H170" s="90">
        <v>155.5979145978153</v>
      </c>
      <c r="I170" s="90">
        <v>152.6</v>
      </c>
      <c r="J170" s="90">
        <v>234.00457775851189</v>
      </c>
      <c r="K170" s="163">
        <f t="shared" si="15"/>
        <v>158.99469864105316</v>
      </c>
      <c r="L170" s="90">
        <v>101.9</v>
      </c>
      <c r="M170" s="90">
        <v>149.9</v>
      </c>
      <c r="N170" s="90">
        <f t="shared" si="16"/>
        <v>139.34</v>
      </c>
      <c r="O170" s="90">
        <v>118.6</v>
      </c>
      <c r="P170" s="90">
        <v>126.4</v>
      </c>
      <c r="Q170" s="90">
        <v>106.7</v>
      </c>
      <c r="R170" s="90">
        <v>101.8</v>
      </c>
      <c r="S170" s="90">
        <v>102.8</v>
      </c>
      <c r="T170" s="491"/>
    </row>
    <row r="171" spans="2:20" s="88" customFormat="1" ht="12" customHeight="1">
      <c r="B171" s="387" t="s">
        <v>157</v>
      </c>
      <c r="C171" s="263" t="s">
        <v>157</v>
      </c>
      <c r="D171" s="554">
        <v>101.7</v>
      </c>
      <c r="E171" s="92">
        <v>152.9</v>
      </c>
      <c r="F171" s="92">
        <v>188.1</v>
      </c>
      <c r="G171" s="92">
        <v>132.30000000000001</v>
      </c>
      <c r="H171" s="92">
        <v>155.49791459781528</v>
      </c>
      <c r="I171" s="92">
        <v>153.5</v>
      </c>
      <c r="J171" s="92">
        <v>221.07067363915908</v>
      </c>
      <c r="K171" s="320">
        <f t="shared" si="15"/>
        <v>158.04730379267667</v>
      </c>
      <c r="L171" s="92">
        <v>102.1</v>
      </c>
      <c r="M171" s="92">
        <v>153.6</v>
      </c>
      <c r="N171" s="92">
        <f t="shared" si="16"/>
        <v>142.27000000000001</v>
      </c>
      <c r="O171" s="92">
        <v>118.6</v>
      </c>
      <c r="P171" s="92">
        <v>126.6</v>
      </c>
      <c r="Q171" s="92">
        <v>107.2</v>
      </c>
      <c r="R171" s="92">
        <v>101.7</v>
      </c>
      <c r="S171" s="92">
        <v>102.8</v>
      </c>
      <c r="T171" s="542"/>
    </row>
    <row r="172" spans="2:20" s="313" customFormat="1" ht="12" customHeight="1">
      <c r="B172" s="531" t="s">
        <v>405</v>
      </c>
      <c r="C172" s="262" t="s">
        <v>406</v>
      </c>
      <c r="D172" s="534">
        <v>101.9</v>
      </c>
      <c r="E172" s="90">
        <v>152.69999999999999</v>
      </c>
      <c r="F172" s="90">
        <v>178</v>
      </c>
      <c r="G172" s="90">
        <v>143.5</v>
      </c>
      <c r="H172" s="90">
        <v>147.56539235412475</v>
      </c>
      <c r="I172" s="90">
        <v>153.9</v>
      </c>
      <c r="J172" s="90">
        <v>210.86611520913104</v>
      </c>
      <c r="K172" s="319">
        <f t="shared" si="15"/>
        <v>152.24800252428363</v>
      </c>
      <c r="L172" s="90">
        <v>102.6</v>
      </c>
      <c r="M172" s="90">
        <v>154.69999999999999</v>
      </c>
      <c r="N172" s="91">
        <f t="shared" si="16"/>
        <v>143.238</v>
      </c>
      <c r="O172" s="90">
        <v>118.6</v>
      </c>
      <c r="P172" s="90">
        <v>126.5</v>
      </c>
      <c r="Q172" s="90">
        <v>108.2</v>
      </c>
      <c r="R172" s="534">
        <v>101.9</v>
      </c>
      <c r="S172" s="90">
        <v>102.5</v>
      </c>
      <c r="T172" s="535"/>
    </row>
    <row r="173" spans="2:20" s="313" customFormat="1" ht="12" customHeight="1">
      <c r="B173" s="531" t="s">
        <v>401</v>
      </c>
      <c r="C173" s="262" t="s">
        <v>401</v>
      </c>
      <c r="D173" s="534">
        <v>102.8</v>
      </c>
      <c r="E173" s="90">
        <v>150.1</v>
      </c>
      <c r="F173" s="90">
        <v>170.2</v>
      </c>
      <c r="G173" s="90">
        <v>139.1</v>
      </c>
      <c r="H173" s="90">
        <v>147.26823221124772</v>
      </c>
      <c r="I173" s="90">
        <v>148.19999999999999</v>
      </c>
      <c r="J173" s="90">
        <v>203.53913432523126</v>
      </c>
      <c r="K173" s="163">
        <f t="shared" si="15"/>
        <v>150.59101829335404</v>
      </c>
      <c r="L173" s="90">
        <v>102.8</v>
      </c>
      <c r="M173" s="90">
        <v>155.1</v>
      </c>
      <c r="N173" s="90">
        <f t="shared" si="16"/>
        <v>143.59399999999999</v>
      </c>
      <c r="O173" s="90">
        <v>118.8</v>
      </c>
      <c r="P173" s="90">
        <v>123.4</v>
      </c>
      <c r="Q173" s="90">
        <v>108.6</v>
      </c>
      <c r="R173" s="534">
        <v>102.8</v>
      </c>
      <c r="S173" s="90">
        <v>102.8</v>
      </c>
      <c r="T173" s="535"/>
    </row>
    <row r="174" spans="2:20" s="313" customFormat="1" ht="12" customHeight="1">
      <c r="B174" s="531" t="s">
        <v>168</v>
      </c>
      <c r="C174" s="262" t="s">
        <v>168</v>
      </c>
      <c r="D174" s="534">
        <v>103.2</v>
      </c>
      <c r="E174" s="90">
        <v>144.19999999999999</v>
      </c>
      <c r="F174" s="90">
        <v>168.2</v>
      </c>
      <c r="G174" s="90">
        <v>142.1</v>
      </c>
      <c r="H174" s="90">
        <v>147.26823221124772</v>
      </c>
      <c r="I174" s="90">
        <v>151</v>
      </c>
      <c r="J174" s="90">
        <v>213.7860255354897</v>
      </c>
      <c r="K174" s="163">
        <f t="shared" si="15"/>
        <v>151.43302410093744</v>
      </c>
      <c r="L174" s="90">
        <v>102.8</v>
      </c>
      <c r="M174" s="90">
        <v>155.19999999999999</v>
      </c>
      <c r="N174" s="90">
        <f t="shared" si="16"/>
        <v>143.672</v>
      </c>
      <c r="O174" s="90">
        <v>118.8</v>
      </c>
      <c r="P174" s="90">
        <v>123.6</v>
      </c>
      <c r="Q174" s="90">
        <v>108.6</v>
      </c>
      <c r="R174" s="534">
        <v>103.2</v>
      </c>
      <c r="S174" s="90">
        <v>102.8</v>
      </c>
      <c r="T174" s="535"/>
    </row>
    <row r="175" spans="2:20" s="313" customFormat="1" ht="12" customHeight="1">
      <c r="B175" s="531" t="s">
        <v>402</v>
      </c>
      <c r="C175" s="262" t="s">
        <v>402</v>
      </c>
      <c r="D175" s="534">
        <v>103.1</v>
      </c>
      <c r="E175" s="90">
        <v>140.1</v>
      </c>
      <c r="F175" s="90">
        <v>165.6</v>
      </c>
      <c r="G175" s="90">
        <v>141.69999999999999</v>
      </c>
      <c r="H175" s="90">
        <v>152.47101096224117</v>
      </c>
      <c r="I175" s="90">
        <v>150.69999999999999</v>
      </c>
      <c r="J175" s="90">
        <v>203.81080709618615</v>
      </c>
      <c r="K175" s="163">
        <f t="shared" si="15"/>
        <v>154.57943351198014</v>
      </c>
      <c r="L175" s="90">
        <v>104.9</v>
      </c>
      <c r="M175" s="90">
        <v>155.30000000000001</v>
      </c>
      <c r="N175" s="90">
        <f t="shared" si="16"/>
        <v>144.21200000000002</v>
      </c>
      <c r="O175" s="90">
        <v>116.9</v>
      </c>
      <c r="P175" s="90">
        <v>123.3</v>
      </c>
      <c r="Q175" s="90">
        <v>110.6</v>
      </c>
      <c r="R175" s="534">
        <v>103.1</v>
      </c>
      <c r="S175" s="90">
        <v>103.3</v>
      </c>
      <c r="T175" s="535"/>
    </row>
    <row r="176" spans="2:20" s="313" customFormat="1" ht="12" customHeight="1">
      <c r="B176" s="531" t="s">
        <v>160</v>
      </c>
      <c r="C176" s="262" t="s">
        <v>160</v>
      </c>
      <c r="D176" s="534">
        <v>103.8</v>
      </c>
      <c r="E176" s="90">
        <v>137.69999999999999</v>
      </c>
      <c r="F176" s="90">
        <v>165.6</v>
      </c>
      <c r="G176" s="90">
        <v>141.4</v>
      </c>
      <c r="H176" s="90">
        <v>152.18444331469243</v>
      </c>
      <c r="I176" s="90">
        <v>150.69999999999999</v>
      </c>
      <c r="J176" s="90">
        <v>201.94131266349413</v>
      </c>
      <c r="K176" s="163">
        <f t="shared" si="15"/>
        <v>154.20407159291975</v>
      </c>
      <c r="L176" s="90">
        <v>105.1</v>
      </c>
      <c r="M176" s="90">
        <v>155.19999999999999</v>
      </c>
      <c r="N176" s="90">
        <f t="shared" si="16"/>
        <v>144.178</v>
      </c>
      <c r="O176" s="90">
        <v>120.9</v>
      </c>
      <c r="P176" s="90">
        <v>122.2</v>
      </c>
      <c r="Q176" s="90">
        <v>112.1</v>
      </c>
      <c r="R176" s="534">
        <v>103.8</v>
      </c>
      <c r="S176" s="90">
        <v>103.3</v>
      </c>
      <c r="T176" s="535"/>
    </row>
    <row r="177" spans="2:20" s="313" customFormat="1" ht="12" customHeight="1">
      <c r="B177" s="531" t="s">
        <v>161</v>
      </c>
      <c r="C177" s="262" t="s">
        <v>161</v>
      </c>
      <c r="D177" s="534">
        <v>104.2</v>
      </c>
      <c r="E177" s="90">
        <v>134.6</v>
      </c>
      <c r="F177" s="90">
        <v>165.6</v>
      </c>
      <c r="G177" s="90">
        <v>143.30000000000001</v>
      </c>
      <c r="H177" s="90">
        <v>152.18444331469243</v>
      </c>
      <c r="I177" s="90">
        <v>152.6</v>
      </c>
      <c r="J177" s="90">
        <v>202.94666102550423</v>
      </c>
      <c r="K177" s="163">
        <f t="shared" si="15"/>
        <v>154.49596175616119</v>
      </c>
      <c r="L177" s="90">
        <v>105.2</v>
      </c>
      <c r="M177" s="90">
        <v>148.4</v>
      </c>
      <c r="N177" s="90">
        <f t="shared" si="16"/>
        <v>138.89600000000002</v>
      </c>
      <c r="O177" s="90">
        <v>118.2</v>
      </c>
      <c r="P177" s="90">
        <v>124.9</v>
      </c>
      <c r="Q177" s="90">
        <v>113.2</v>
      </c>
      <c r="R177" s="534">
        <v>104.2</v>
      </c>
      <c r="S177" s="90">
        <v>104</v>
      </c>
      <c r="T177" s="535"/>
    </row>
    <row r="178" spans="2:20" customFormat="1" ht="12" customHeight="1">
      <c r="B178" s="531" t="s">
        <v>403</v>
      </c>
      <c r="C178" s="262" t="s">
        <v>403</v>
      </c>
      <c r="D178" s="534">
        <v>104.1</v>
      </c>
      <c r="E178" s="90">
        <v>133.5</v>
      </c>
      <c r="F178" s="90">
        <v>161.1</v>
      </c>
      <c r="G178" s="90">
        <v>145.69999999999999</v>
      </c>
      <c r="H178" s="90">
        <v>147.95960264900663</v>
      </c>
      <c r="I178" s="90">
        <v>155.30000000000001</v>
      </c>
      <c r="J178" s="90">
        <v>203.67368041519657</v>
      </c>
      <c r="K178" s="163">
        <f t="shared" si="15"/>
        <v>151.52220559318613</v>
      </c>
      <c r="L178" s="90">
        <v>105.7</v>
      </c>
      <c r="M178" s="90">
        <v>142.30000000000001</v>
      </c>
      <c r="N178" s="90">
        <f t="shared" si="16"/>
        <v>134.24800000000002</v>
      </c>
      <c r="O178" s="90">
        <v>118.2</v>
      </c>
      <c r="P178" s="90">
        <v>127.8</v>
      </c>
      <c r="Q178" s="90">
        <v>113.5</v>
      </c>
      <c r="R178" s="534">
        <v>104.1</v>
      </c>
      <c r="S178" s="90">
        <v>104</v>
      </c>
      <c r="T178" s="535"/>
    </row>
    <row r="179" spans="2:20" customFormat="1" ht="12" customHeight="1">
      <c r="B179" s="531" t="s">
        <v>404</v>
      </c>
      <c r="C179" s="262" t="s">
        <v>404</v>
      </c>
      <c r="D179" s="534">
        <v>104.5</v>
      </c>
      <c r="E179" s="90">
        <v>135.19999999999999</v>
      </c>
      <c r="F179" s="90">
        <v>159.19999999999999</v>
      </c>
      <c r="G179" s="90">
        <v>144.69999999999999</v>
      </c>
      <c r="H179" s="533">
        <v>147.86336715676126</v>
      </c>
      <c r="I179" s="90">
        <v>153.6</v>
      </c>
      <c r="J179" s="90">
        <v>195.54394510639125</v>
      </c>
      <c r="K179" s="163">
        <f t="shared" si="15"/>
        <v>150.76692450634582</v>
      </c>
      <c r="L179" s="90">
        <v>105.9</v>
      </c>
      <c r="M179" s="90">
        <v>141.30000000000001</v>
      </c>
      <c r="N179" s="90">
        <f>($L$15*L179+$M$15*M179)/$N$15</f>
        <v>133.512</v>
      </c>
      <c r="O179" s="90">
        <v>118.2</v>
      </c>
      <c r="P179" s="90">
        <v>132.5</v>
      </c>
      <c r="Q179" s="90">
        <v>114.1</v>
      </c>
      <c r="R179" s="534">
        <v>104.5</v>
      </c>
      <c r="S179" s="90">
        <v>104.1</v>
      </c>
      <c r="T179" s="535"/>
    </row>
    <row r="180" spans="2:20" customFormat="1" ht="12" customHeight="1">
      <c r="B180" s="531" t="s">
        <v>164</v>
      </c>
      <c r="C180" s="262" t="s">
        <v>164</v>
      </c>
      <c r="D180" s="534">
        <v>104.7</v>
      </c>
      <c r="E180" s="90">
        <v>137.4</v>
      </c>
      <c r="F180" s="90">
        <v>151</v>
      </c>
      <c r="G180" s="90">
        <v>148.69999999999999</v>
      </c>
      <c r="H180" s="90">
        <v>147.86336715676126</v>
      </c>
      <c r="I180" s="90">
        <v>158.4</v>
      </c>
      <c r="J180" s="90">
        <v>197.42495022825202</v>
      </c>
      <c r="K180" s="163">
        <f t="shared" si="15"/>
        <v>151.1612143054177</v>
      </c>
      <c r="L180" s="90">
        <v>106</v>
      </c>
      <c r="M180" s="90">
        <v>141.30000000000001</v>
      </c>
      <c r="N180" s="90">
        <f t="shared" si="16"/>
        <v>133.53400000000002</v>
      </c>
      <c r="O180" s="90">
        <v>117.1</v>
      </c>
      <c r="P180" s="90">
        <v>133.9</v>
      </c>
      <c r="Q180" s="90">
        <v>114.4</v>
      </c>
      <c r="R180" s="534">
        <v>104.7</v>
      </c>
      <c r="S180" s="90">
        <v>105.2</v>
      </c>
      <c r="T180" s="535"/>
    </row>
    <row r="181" spans="2:20" customFormat="1" ht="12" customHeight="1">
      <c r="B181" s="531" t="s">
        <v>165</v>
      </c>
      <c r="C181" s="262" t="s">
        <v>165</v>
      </c>
      <c r="D181" s="534">
        <v>105.6</v>
      </c>
      <c r="E181" s="90">
        <v>134</v>
      </c>
      <c r="F181" s="90">
        <v>152.5</v>
      </c>
      <c r="G181" s="90">
        <v>150</v>
      </c>
      <c r="H181" s="90">
        <v>141.44059281059489</v>
      </c>
      <c r="I181" s="90">
        <v>159.1</v>
      </c>
      <c r="J181" s="90">
        <v>195.843157071495</v>
      </c>
      <c r="K181" s="163">
        <f t="shared" si="15"/>
        <v>146.4357797527403</v>
      </c>
      <c r="L181" s="90">
        <v>106.1</v>
      </c>
      <c r="M181" s="90">
        <v>140.80000000000001</v>
      </c>
      <c r="N181" s="90">
        <f t="shared" si="16"/>
        <v>133.16600000000003</v>
      </c>
      <c r="O181" s="90">
        <v>117.6</v>
      </c>
      <c r="P181" s="90">
        <v>128.9</v>
      </c>
      <c r="Q181" s="90">
        <v>114.5</v>
      </c>
      <c r="R181" s="534">
        <v>105.6</v>
      </c>
      <c r="S181" s="90">
        <v>105.6</v>
      </c>
      <c r="T181" s="535"/>
    </row>
    <row r="182" spans="2:20" customFormat="1" ht="12" customHeight="1">
      <c r="B182" s="531" t="s">
        <v>166</v>
      </c>
      <c r="C182" s="262" t="s">
        <v>166</v>
      </c>
      <c r="D182" s="534">
        <v>106.3</v>
      </c>
      <c r="E182" s="90">
        <v>129.80000000000001</v>
      </c>
      <c r="F182" s="90">
        <v>156.5</v>
      </c>
      <c r="G182" s="90">
        <v>151.1</v>
      </c>
      <c r="H182" s="90">
        <v>141.24279099137024</v>
      </c>
      <c r="I182" s="90">
        <v>141</v>
      </c>
      <c r="J182" s="90">
        <v>196.1743116547195</v>
      </c>
      <c r="K182" s="163">
        <f t="shared" si="15"/>
        <v>145.77854322923028</v>
      </c>
      <c r="L182" s="90">
        <v>106.1</v>
      </c>
      <c r="M182" s="90">
        <v>138.6</v>
      </c>
      <c r="N182" s="90">
        <f t="shared" si="16"/>
        <v>131.44999999999999</v>
      </c>
      <c r="O182" s="90">
        <v>117.8</v>
      </c>
      <c r="P182" s="90">
        <v>127.1</v>
      </c>
      <c r="Q182" s="90">
        <v>114.8</v>
      </c>
      <c r="R182" s="90">
        <v>106.3</v>
      </c>
      <c r="S182" s="90">
        <v>105.7</v>
      </c>
      <c r="T182" s="535"/>
    </row>
    <row r="183" spans="2:20" s="313" customFormat="1" ht="12" customHeight="1">
      <c r="B183" s="105" t="s">
        <v>167</v>
      </c>
      <c r="C183" s="263" t="s">
        <v>167</v>
      </c>
      <c r="D183" s="554">
        <v>106.1</v>
      </c>
      <c r="E183" s="92">
        <v>130.19999999999999</v>
      </c>
      <c r="F183" s="92">
        <v>157</v>
      </c>
      <c r="G183" s="92">
        <v>151.69999999999999</v>
      </c>
      <c r="H183" s="92">
        <v>141.44114183576909</v>
      </c>
      <c r="I183" s="92">
        <v>136.9</v>
      </c>
      <c r="J183" s="92">
        <v>190.81593835132824</v>
      </c>
      <c r="K183" s="320">
        <f t="shared" si="15"/>
        <v>145.54286154492672</v>
      </c>
      <c r="L183" s="92">
        <v>106.2</v>
      </c>
      <c r="M183" s="92">
        <v>135.9</v>
      </c>
      <c r="N183" s="92">
        <f t="shared" si="16"/>
        <v>129.36600000000001</v>
      </c>
      <c r="O183" s="92">
        <v>117.8</v>
      </c>
      <c r="P183" s="92">
        <v>128.4</v>
      </c>
      <c r="Q183" s="92">
        <v>114.8</v>
      </c>
      <c r="R183" s="92">
        <v>106.1</v>
      </c>
      <c r="S183" s="92">
        <v>105.7</v>
      </c>
      <c r="T183" s="567"/>
    </row>
    <row r="184" spans="2:20" s="313" customFormat="1" ht="12" customHeight="1">
      <c r="B184" s="531" t="s">
        <v>415</v>
      </c>
      <c r="C184" s="262" t="s">
        <v>416</v>
      </c>
      <c r="D184" s="534">
        <v>106.2</v>
      </c>
      <c r="E184" s="90">
        <v>130.9</v>
      </c>
      <c r="F184" s="90">
        <v>152.1</v>
      </c>
      <c r="G184" s="90">
        <v>147.4</v>
      </c>
      <c r="H184" s="90">
        <v>143.7244847485573</v>
      </c>
      <c r="I184" s="90">
        <v>132.30000000000001</v>
      </c>
      <c r="J184" s="90">
        <v>180.38669745574671</v>
      </c>
      <c r="K184" s="163">
        <f t="shared" ref="K184:K195" si="17">($E$15*E184+F$15*F184+$G$15*G184+$H$15*H184+$I$15*I184+$J$15*J184)/$K$15</f>
        <v>145.86056325401944</v>
      </c>
      <c r="L184" s="90">
        <v>106.8</v>
      </c>
      <c r="M184" s="90">
        <v>135</v>
      </c>
      <c r="N184" s="90">
        <f t="shared" ref="N184:N190" si="18">($L$15*L184+$M$15*M184)/$N$15</f>
        <v>128.79599999999999</v>
      </c>
      <c r="O184" s="90">
        <v>119.2</v>
      </c>
      <c r="P184" s="90">
        <v>128.6</v>
      </c>
      <c r="Q184" s="90">
        <v>115.2</v>
      </c>
      <c r="R184" s="534">
        <v>106.2</v>
      </c>
      <c r="S184" s="90">
        <v>105.5</v>
      </c>
      <c r="T184" s="535"/>
    </row>
    <row r="185" spans="2:20" s="313" customFormat="1" ht="12" customHeight="1">
      <c r="B185" s="531" t="s">
        <v>401</v>
      </c>
      <c r="C185" s="262" t="s">
        <v>401</v>
      </c>
      <c r="D185" s="534">
        <v>106.1</v>
      </c>
      <c r="E185" s="90">
        <v>133.6</v>
      </c>
      <c r="F185" s="90">
        <v>145.80000000000001</v>
      </c>
      <c r="G185" s="90">
        <v>142.80000000000001</v>
      </c>
      <c r="H185" s="90">
        <v>144.0232003290827</v>
      </c>
      <c r="I185" s="90">
        <v>133.19999999999999</v>
      </c>
      <c r="J185" s="90">
        <v>185.20084910218461</v>
      </c>
      <c r="K185" s="163">
        <f t="shared" si="17"/>
        <v>145.70131390132539</v>
      </c>
      <c r="L185" s="90">
        <v>107</v>
      </c>
      <c r="M185" s="90">
        <v>134.4</v>
      </c>
      <c r="N185" s="90">
        <f t="shared" si="18"/>
        <v>128.37200000000001</v>
      </c>
      <c r="O185" s="90">
        <v>121.7</v>
      </c>
      <c r="P185" s="90">
        <v>128.19999999999999</v>
      </c>
      <c r="Q185" s="90">
        <v>115.7</v>
      </c>
      <c r="R185" s="534">
        <v>106.1</v>
      </c>
      <c r="S185" s="90">
        <v>105.6</v>
      </c>
      <c r="T185" s="535"/>
    </row>
    <row r="186" spans="2:20" s="313" customFormat="1" ht="12" customHeight="1">
      <c r="B186" s="531" t="s">
        <v>168</v>
      </c>
      <c r="C186" s="262" t="s">
        <v>168</v>
      </c>
      <c r="D186" s="534">
        <v>106.5</v>
      </c>
      <c r="E186" s="90">
        <v>136.6</v>
      </c>
      <c r="F186" s="90">
        <v>146.6</v>
      </c>
      <c r="G186" s="90">
        <v>135.6</v>
      </c>
      <c r="H186" s="90">
        <v>143.92326442456033</v>
      </c>
      <c r="I186" s="90">
        <v>134.4</v>
      </c>
      <c r="J186" s="90">
        <v>189.062973884847</v>
      </c>
      <c r="K186" s="163">
        <f t="shared" si="17"/>
        <v>145.23552720516673</v>
      </c>
      <c r="L186" s="90">
        <v>107.1</v>
      </c>
      <c r="M186" s="90">
        <v>134.5</v>
      </c>
      <c r="N186" s="90">
        <f t="shared" si="18"/>
        <v>128.47200000000001</v>
      </c>
      <c r="O186" s="90">
        <v>121.7</v>
      </c>
      <c r="P186" s="90">
        <v>128.19999999999999</v>
      </c>
      <c r="Q186" s="90">
        <v>115.8</v>
      </c>
      <c r="R186" s="534">
        <v>106.5</v>
      </c>
      <c r="S186" s="90">
        <v>105.6</v>
      </c>
      <c r="T186" s="535"/>
    </row>
    <row r="187" spans="2:20" s="313" customFormat="1" ht="12" customHeight="1">
      <c r="B187" s="531" t="s">
        <v>200</v>
      </c>
      <c r="C187" s="262" t="s">
        <v>200</v>
      </c>
      <c r="D187" s="534">
        <v>106.5</v>
      </c>
      <c r="E187" s="90">
        <v>136.1</v>
      </c>
      <c r="F187" s="90">
        <v>143.9</v>
      </c>
      <c r="G187" s="90">
        <v>133.9</v>
      </c>
      <c r="H187" s="90">
        <v>138.2649924876583</v>
      </c>
      <c r="I187" s="90">
        <v>133.6</v>
      </c>
      <c r="J187" s="90">
        <v>189.65938262440548</v>
      </c>
      <c r="K187" s="163">
        <f t="shared" si="17"/>
        <v>140.70188753027352</v>
      </c>
      <c r="L187" s="90">
        <v>107.4</v>
      </c>
      <c r="M187" s="90">
        <v>134.30000000000001</v>
      </c>
      <c r="N187" s="90">
        <f t="shared" si="18"/>
        <v>128.38200000000001</v>
      </c>
      <c r="O187" s="90">
        <v>121.7</v>
      </c>
      <c r="P187" s="90">
        <v>129.1</v>
      </c>
      <c r="Q187" s="90">
        <v>116</v>
      </c>
      <c r="R187" s="534">
        <v>106.5</v>
      </c>
      <c r="S187" s="90">
        <v>106</v>
      </c>
      <c r="T187" s="535"/>
    </row>
    <row r="188" spans="2:20" s="313" customFormat="1" ht="12" customHeight="1">
      <c r="B188" s="531" t="s">
        <v>160</v>
      </c>
      <c r="C188" s="262" t="s">
        <v>160</v>
      </c>
      <c r="D188" s="534">
        <v>106.8</v>
      </c>
      <c r="E188" s="90">
        <v>136.19999999999999</v>
      </c>
      <c r="F188" s="90">
        <v>144.9</v>
      </c>
      <c r="G188" s="90">
        <v>136.6</v>
      </c>
      <c r="H188" s="90">
        <v>138.0662009672219</v>
      </c>
      <c r="I188" s="90">
        <v>136.5</v>
      </c>
      <c r="J188" s="90">
        <v>194.83995426408833</v>
      </c>
      <c r="K188" s="163">
        <f t="shared" si="17"/>
        <v>141.27462292812194</v>
      </c>
      <c r="L188" s="90">
        <v>107.6</v>
      </c>
      <c r="M188" s="90">
        <v>134.1</v>
      </c>
      <c r="N188" s="90">
        <f t="shared" si="18"/>
        <v>128.27000000000001</v>
      </c>
      <c r="O188" s="90">
        <v>121.8</v>
      </c>
      <c r="P188" s="90">
        <v>129.69999999999999</v>
      </c>
      <c r="Q188" s="90">
        <v>116.4</v>
      </c>
      <c r="R188" s="534">
        <v>106.8</v>
      </c>
      <c r="S188" s="90">
        <v>105.8</v>
      </c>
      <c r="T188" s="535"/>
    </row>
    <row r="189" spans="2:20" s="313" customFormat="1" ht="12" customHeight="1">
      <c r="B189" s="531" t="s">
        <v>161</v>
      </c>
      <c r="C189" s="262" t="s">
        <v>161</v>
      </c>
      <c r="D189" s="534">
        <v>106.9</v>
      </c>
      <c r="E189" s="90">
        <v>137.9</v>
      </c>
      <c r="F189" s="90">
        <v>151.30000000000001</v>
      </c>
      <c r="G189" s="90">
        <v>137.1</v>
      </c>
      <c r="H189" s="90">
        <v>137.96648032681142</v>
      </c>
      <c r="I189" s="90">
        <v>136.9</v>
      </c>
      <c r="J189" s="90">
        <v>195.19254994485934</v>
      </c>
      <c r="K189" s="163">
        <f t="shared" si="17"/>
        <v>141.5664288869493</v>
      </c>
      <c r="L189" s="90">
        <v>107.6</v>
      </c>
      <c r="M189" s="90">
        <v>136.5</v>
      </c>
      <c r="N189" s="90">
        <f t="shared" si="18"/>
        <v>130.142</v>
      </c>
      <c r="O189" s="90">
        <v>120.1</v>
      </c>
      <c r="P189" s="90">
        <v>130.5</v>
      </c>
      <c r="Q189" s="90">
        <v>116.9</v>
      </c>
      <c r="R189" s="534">
        <v>106.9</v>
      </c>
      <c r="S189" s="90">
        <v>106.1</v>
      </c>
      <c r="T189" s="535"/>
    </row>
    <row r="190" spans="2:20" s="313" customFormat="1" ht="12" customHeight="1">
      <c r="B190" s="531" t="s">
        <v>152</v>
      </c>
      <c r="C190" s="262" t="s">
        <v>152</v>
      </c>
      <c r="D190" s="534">
        <v>106.9</v>
      </c>
      <c r="E190" s="90">
        <v>140.5</v>
      </c>
      <c r="F190" s="90">
        <v>151.5</v>
      </c>
      <c r="G190" s="90">
        <v>138.19999999999999</v>
      </c>
      <c r="H190" s="90">
        <v>141.14672759743672</v>
      </c>
      <c r="I190" s="90">
        <v>138.6</v>
      </c>
      <c r="J190" s="90">
        <v>192.90129751650667</v>
      </c>
      <c r="K190" s="163">
        <f t="shared" si="17"/>
        <v>144.04363568916514</v>
      </c>
      <c r="L190" s="90">
        <v>109.4</v>
      </c>
      <c r="M190" s="90">
        <v>139.1</v>
      </c>
      <c r="N190" s="90">
        <f t="shared" si="18"/>
        <v>132.56599999999997</v>
      </c>
      <c r="O190" s="90">
        <v>121.9</v>
      </c>
      <c r="P190" s="90">
        <v>132.30000000000001</v>
      </c>
      <c r="Q190" s="90">
        <v>117.2</v>
      </c>
      <c r="R190" s="534">
        <v>106.9</v>
      </c>
      <c r="S190" s="90">
        <v>106.1</v>
      </c>
      <c r="T190" s="535"/>
    </row>
    <row r="191" spans="2:20" customFormat="1" ht="12" customHeight="1">
      <c r="B191" s="531" t="s">
        <v>404</v>
      </c>
      <c r="C191" s="262" t="s">
        <v>404</v>
      </c>
      <c r="D191" s="534">
        <v>107.4</v>
      </c>
      <c r="E191" s="90">
        <v>142</v>
      </c>
      <c r="F191" s="90">
        <v>148.4</v>
      </c>
      <c r="G191" s="90">
        <v>137.6</v>
      </c>
      <c r="H191" s="533">
        <v>141.34592779177163</v>
      </c>
      <c r="I191" s="90">
        <v>138.19999999999999</v>
      </c>
      <c r="J191" s="90">
        <v>184.98825320877873</v>
      </c>
      <c r="K191" s="163">
        <f t="shared" si="17"/>
        <v>143.56524989381145</v>
      </c>
      <c r="L191" s="90">
        <v>109.4</v>
      </c>
      <c r="M191" s="90">
        <v>139.4</v>
      </c>
      <c r="N191" s="90">
        <f>($L$15*L191+$M$15*M191)/$N$15</f>
        <v>132.80000000000001</v>
      </c>
      <c r="O191" s="90">
        <v>122.1</v>
      </c>
      <c r="P191" s="90">
        <v>131.4</v>
      </c>
      <c r="Q191" s="90">
        <v>117.3</v>
      </c>
      <c r="R191" s="534">
        <v>107.4</v>
      </c>
      <c r="S191" s="90">
        <v>106.1</v>
      </c>
      <c r="T191" s="535"/>
    </row>
    <row r="192" spans="2:20" customFormat="1" ht="12" customHeight="1">
      <c r="B192" s="531" t="s">
        <v>164</v>
      </c>
      <c r="C192" s="262" t="s">
        <v>164</v>
      </c>
      <c r="D192" s="534">
        <v>107.7</v>
      </c>
      <c r="E192" s="90">
        <v>143.4</v>
      </c>
      <c r="F192" s="90">
        <v>142.69999999999999</v>
      </c>
      <c r="G192" s="90">
        <v>133.4</v>
      </c>
      <c r="H192" s="90">
        <v>141.34601658444421</v>
      </c>
      <c r="I192" s="90">
        <v>133.80000000000001</v>
      </c>
      <c r="J192" s="90">
        <v>175.54666073263195</v>
      </c>
      <c r="K192" s="163">
        <f t="shared" si="17"/>
        <v>142.21731143544102</v>
      </c>
      <c r="L192" s="90">
        <v>109.4</v>
      </c>
      <c r="M192" s="90">
        <v>139.5</v>
      </c>
      <c r="N192" s="90">
        <f t="shared" ref="N192:N195" si="19">($L$15*L192+$M$15*M192)/$N$15</f>
        <v>132.87799999999999</v>
      </c>
      <c r="O192" s="90">
        <v>122.6</v>
      </c>
      <c r="P192" s="90">
        <v>130</v>
      </c>
      <c r="Q192" s="90">
        <v>117.7</v>
      </c>
      <c r="R192" s="534">
        <v>107.7</v>
      </c>
      <c r="S192" s="90">
        <v>108</v>
      </c>
      <c r="T192" s="535"/>
    </row>
    <row r="193" spans="2:22" customFormat="1" ht="12" customHeight="1">
      <c r="B193" s="531" t="s">
        <v>165</v>
      </c>
      <c r="C193" s="262" t="s">
        <v>165</v>
      </c>
      <c r="D193" s="534">
        <v>108</v>
      </c>
      <c r="E193" s="90">
        <v>142</v>
      </c>
      <c r="F193" s="90">
        <v>138.30000000000001</v>
      </c>
      <c r="G193" s="90">
        <v>121.3</v>
      </c>
      <c r="H193" s="90">
        <v>135.08561696516864</v>
      </c>
      <c r="I193" s="90">
        <v>130.30000000000001</v>
      </c>
      <c r="J193" s="90">
        <v>178.52942731433961</v>
      </c>
      <c r="K193" s="163">
        <f t="shared" si="17"/>
        <v>136.13077795193149</v>
      </c>
      <c r="L193" s="90">
        <v>109.4</v>
      </c>
      <c r="M193" s="90">
        <v>139.5</v>
      </c>
      <c r="N193" s="90">
        <f t="shared" si="19"/>
        <v>132.87799999999999</v>
      </c>
      <c r="O193" s="90">
        <v>122.4</v>
      </c>
      <c r="P193" s="90">
        <v>129.69999999999999</v>
      </c>
      <c r="Q193" s="90">
        <v>118</v>
      </c>
      <c r="R193" s="534">
        <v>108</v>
      </c>
      <c r="S193" s="90">
        <v>108.1</v>
      </c>
      <c r="T193" s="535"/>
    </row>
    <row r="194" spans="2:22" customFormat="1" ht="12" customHeight="1">
      <c r="B194" s="531" t="s">
        <v>166</v>
      </c>
      <c r="C194" s="262" t="s">
        <v>166</v>
      </c>
      <c r="D194" s="534">
        <v>108.4</v>
      </c>
      <c r="E194" s="90">
        <v>141.1</v>
      </c>
      <c r="F194" s="90">
        <v>143.69999999999999</v>
      </c>
      <c r="G194" s="90">
        <v>123.5</v>
      </c>
      <c r="H194" s="90">
        <v>134.78727432848964</v>
      </c>
      <c r="I194" s="90">
        <v>133.1</v>
      </c>
      <c r="J194" s="90">
        <v>184.87165061317344</v>
      </c>
      <c r="K194" s="163">
        <f t="shared" si="17"/>
        <v>136.80829850490716</v>
      </c>
      <c r="L194" s="90">
        <v>109.4</v>
      </c>
      <c r="M194" s="90">
        <v>139.19999999999999</v>
      </c>
      <c r="N194" s="90">
        <f t="shared" si="19"/>
        <v>132.64399999999998</v>
      </c>
      <c r="O194" s="90">
        <v>120.5</v>
      </c>
      <c r="P194" s="90">
        <v>130</v>
      </c>
      <c r="Q194" s="90">
        <v>118</v>
      </c>
      <c r="R194" s="90">
        <v>108.4</v>
      </c>
      <c r="S194" s="90">
        <v>108.1</v>
      </c>
      <c r="T194" s="535"/>
    </row>
    <row r="195" spans="2:22" s="313" customFormat="1" ht="12" customHeight="1">
      <c r="B195" s="452" t="s">
        <v>167</v>
      </c>
      <c r="C195" s="267" t="s">
        <v>167</v>
      </c>
      <c r="D195" s="445">
        <v>108.2</v>
      </c>
      <c r="E195" s="106">
        <v>141.1</v>
      </c>
      <c r="F195" s="106">
        <v>147.4</v>
      </c>
      <c r="G195" s="106">
        <v>125.8</v>
      </c>
      <c r="H195" s="106">
        <v>134.78717666483215</v>
      </c>
      <c r="I195" s="106">
        <v>135.19999999999999</v>
      </c>
      <c r="J195" s="106">
        <v>186.09063312864936</v>
      </c>
      <c r="K195" s="563">
        <f t="shared" si="17"/>
        <v>137.34546812123696</v>
      </c>
      <c r="L195" s="106">
        <v>109.7</v>
      </c>
      <c r="M195" s="106">
        <v>139</v>
      </c>
      <c r="N195" s="106">
        <f t="shared" si="19"/>
        <v>132.554</v>
      </c>
      <c r="O195" s="106">
        <v>120.5</v>
      </c>
      <c r="P195" s="106">
        <v>132.1</v>
      </c>
      <c r="Q195" s="106">
        <v>118.2</v>
      </c>
      <c r="R195" s="106">
        <v>108.2</v>
      </c>
      <c r="S195" s="106">
        <v>108.6</v>
      </c>
      <c r="T195" s="536"/>
    </row>
    <row r="196" spans="2:22" s="313" customFormat="1" ht="12" customHeight="1">
      <c r="B196" s="531" t="s">
        <v>417</v>
      </c>
      <c r="C196" s="262" t="s">
        <v>418</v>
      </c>
      <c r="D196" s="534">
        <v>108.6</v>
      </c>
      <c r="E196" s="90">
        <v>140.69999999999999</v>
      </c>
      <c r="F196" s="90">
        <v>147.69999999999999</v>
      </c>
      <c r="G196" s="90">
        <v>125.7</v>
      </c>
      <c r="H196" s="90">
        <v>137.17153979238756</v>
      </c>
      <c r="I196" s="90">
        <v>135</v>
      </c>
      <c r="J196" s="90">
        <v>191.67006213297256</v>
      </c>
      <c r="K196" s="90">
        <f>($E$14*E196+F$14*F196+$G$14*G196+$H$14*H196+$I$14*I196+$J$14*J196)/$K$14</f>
        <v>139.4355045361219</v>
      </c>
      <c r="L196" s="90">
        <v>110.9</v>
      </c>
      <c r="M196" s="90">
        <v>138.69999999999999</v>
      </c>
      <c r="N196" s="90">
        <f>($L$14*L196+$M$14*M196)/$N$14</f>
        <v>132.57472513585239</v>
      </c>
      <c r="O196" s="90">
        <v>121.2</v>
      </c>
      <c r="P196" s="90">
        <v>136.1</v>
      </c>
      <c r="Q196" s="90">
        <v>118.8</v>
      </c>
      <c r="R196" s="534">
        <v>108.6</v>
      </c>
      <c r="S196" s="90">
        <v>108.9</v>
      </c>
      <c r="T196" s="535"/>
      <c r="V196" s="591"/>
    </row>
    <row r="197" spans="2:22" s="313" customFormat="1" ht="12" customHeight="1">
      <c r="B197" s="531" t="s">
        <v>419</v>
      </c>
      <c r="C197" s="262" t="s">
        <v>419</v>
      </c>
      <c r="D197" s="534">
        <v>108.6</v>
      </c>
      <c r="E197" s="90">
        <v>140.6</v>
      </c>
      <c r="F197" s="90">
        <v>154.9</v>
      </c>
      <c r="G197" s="90">
        <v>127</v>
      </c>
      <c r="H197" s="90">
        <v>137.4697528865868</v>
      </c>
      <c r="I197" s="90">
        <v>135.80000000000001</v>
      </c>
      <c r="J197" s="90">
        <v>187.30146041135737</v>
      </c>
      <c r="K197" s="90">
        <f t="shared" ref="K197:K207" si="20">($E$14*E197+F$14*F197+$G$14*G197+$H$14*H197+$I$14*I197+$J$14*J197)/$K$14</f>
        <v>139.87309122383303</v>
      </c>
      <c r="L197" s="90">
        <v>111</v>
      </c>
      <c r="M197" s="90">
        <v>139</v>
      </c>
      <c r="N197" s="90">
        <f t="shared" ref="N197:N207" si="21">($L$14*L197+$M$14*M197)/$N$14</f>
        <v>132.83065841021104</v>
      </c>
      <c r="O197" s="90">
        <v>121.6</v>
      </c>
      <c r="P197" s="90">
        <v>136.80000000000001</v>
      </c>
      <c r="Q197" s="90">
        <v>118.9</v>
      </c>
      <c r="R197" s="534">
        <v>108.6</v>
      </c>
      <c r="S197" s="90">
        <v>108.6</v>
      </c>
      <c r="T197" s="535"/>
      <c r="V197" s="591"/>
    </row>
    <row r="198" spans="2:22" s="313" customFormat="1" ht="12" customHeight="1">
      <c r="B198" s="531" t="s">
        <v>168</v>
      </c>
      <c r="C198" s="262" t="s">
        <v>168</v>
      </c>
      <c r="D198" s="534">
        <v>109.8</v>
      </c>
      <c r="E198" s="90"/>
      <c r="F198" s="90"/>
      <c r="G198" s="90"/>
      <c r="H198" s="90"/>
      <c r="I198" s="90"/>
      <c r="J198" s="90"/>
      <c r="K198" s="90">
        <f t="shared" si="20"/>
        <v>0</v>
      </c>
      <c r="L198" s="90"/>
      <c r="M198" s="90"/>
      <c r="N198" s="90">
        <f t="shared" si="21"/>
        <v>0</v>
      </c>
      <c r="O198" s="90"/>
      <c r="P198" s="90"/>
      <c r="Q198" s="90"/>
      <c r="R198" s="534">
        <v>109.8</v>
      </c>
      <c r="S198" s="90"/>
      <c r="T198" s="535"/>
      <c r="V198" s="591"/>
    </row>
    <row r="199" spans="2:22" s="313" customFormat="1" ht="12" customHeight="1">
      <c r="B199" s="531" t="s">
        <v>420</v>
      </c>
      <c r="C199" s="262" t="s">
        <v>420</v>
      </c>
      <c r="D199" s="534"/>
      <c r="E199" s="90"/>
      <c r="F199" s="90"/>
      <c r="G199" s="90"/>
      <c r="H199" s="90"/>
      <c r="I199" s="90"/>
      <c r="J199" s="90"/>
      <c r="K199" s="90">
        <f t="shared" si="20"/>
        <v>0</v>
      </c>
      <c r="L199" s="90"/>
      <c r="M199" s="90"/>
      <c r="N199" s="90">
        <f t="shared" si="21"/>
        <v>0</v>
      </c>
      <c r="O199" s="90"/>
      <c r="P199" s="90"/>
      <c r="Q199" s="90"/>
      <c r="R199" s="534"/>
      <c r="S199" s="90"/>
      <c r="T199" s="535"/>
      <c r="V199" s="591"/>
    </row>
    <row r="200" spans="2:22" s="313" customFormat="1" ht="12" customHeight="1">
      <c r="B200" s="531" t="s">
        <v>160</v>
      </c>
      <c r="C200" s="262" t="s">
        <v>160</v>
      </c>
      <c r="D200" s="534"/>
      <c r="E200" s="90"/>
      <c r="F200" s="90"/>
      <c r="G200" s="90"/>
      <c r="H200" s="90"/>
      <c r="I200" s="90"/>
      <c r="J200" s="90"/>
      <c r="K200" s="90">
        <f t="shared" si="20"/>
        <v>0</v>
      </c>
      <c r="L200" s="90"/>
      <c r="M200" s="90"/>
      <c r="N200" s="90">
        <f t="shared" si="21"/>
        <v>0</v>
      </c>
      <c r="O200" s="90"/>
      <c r="P200" s="90"/>
      <c r="Q200" s="90"/>
      <c r="R200" s="534"/>
      <c r="S200" s="90"/>
      <c r="T200" s="535"/>
      <c r="V200" s="591"/>
    </row>
    <row r="201" spans="2:22" s="313" customFormat="1" ht="12" customHeight="1">
      <c r="B201" s="531" t="s">
        <v>161</v>
      </c>
      <c r="C201" s="262" t="s">
        <v>161</v>
      </c>
      <c r="D201" s="534"/>
      <c r="E201" s="90"/>
      <c r="F201" s="90"/>
      <c r="G201" s="90"/>
      <c r="H201" s="90"/>
      <c r="I201" s="90"/>
      <c r="J201" s="90"/>
      <c r="K201" s="90">
        <f t="shared" si="20"/>
        <v>0</v>
      </c>
      <c r="L201" s="90"/>
      <c r="M201" s="90"/>
      <c r="N201" s="90">
        <f t="shared" si="21"/>
        <v>0</v>
      </c>
      <c r="O201" s="90"/>
      <c r="P201" s="90"/>
      <c r="Q201" s="90"/>
      <c r="R201" s="534"/>
      <c r="S201" s="90"/>
      <c r="T201" s="535"/>
      <c r="V201" s="591"/>
    </row>
    <row r="202" spans="2:22" customFormat="1" ht="12" customHeight="1">
      <c r="B202" s="531" t="s">
        <v>421</v>
      </c>
      <c r="C202" s="262" t="s">
        <v>421</v>
      </c>
      <c r="D202" s="534"/>
      <c r="E202" s="90"/>
      <c r="F202" s="90"/>
      <c r="G202" s="90"/>
      <c r="H202" s="90"/>
      <c r="I202" s="90"/>
      <c r="J202" s="90"/>
      <c r="K202" s="90">
        <f t="shared" si="20"/>
        <v>0</v>
      </c>
      <c r="L202" s="90"/>
      <c r="M202" s="90"/>
      <c r="N202" s="90">
        <f t="shared" si="21"/>
        <v>0</v>
      </c>
      <c r="O202" s="90"/>
      <c r="P202" s="90"/>
      <c r="Q202" s="90"/>
      <c r="R202" s="534"/>
      <c r="S202" s="90"/>
      <c r="T202" s="535"/>
      <c r="V202" s="591"/>
    </row>
    <row r="203" spans="2:22" customFormat="1" ht="12" customHeight="1">
      <c r="B203" s="531" t="s">
        <v>422</v>
      </c>
      <c r="C203" s="262" t="s">
        <v>422</v>
      </c>
      <c r="D203" s="534"/>
      <c r="E203" s="90"/>
      <c r="F203" s="90"/>
      <c r="G203" s="90"/>
      <c r="H203" s="533"/>
      <c r="I203" s="90"/>
      <c r="J203" s="90"/>
      <c r="K203" s="90">
        <f t="shared" si="20"/>
        <v>0</v>
      </c>
      <c r="L203" s="90"/>
      <c r="M203" s="90"/>
      <c r="N203" s="90">
        <f t="shared" si="21"/>
        <v>0</v>
      </c>
      <c r="O203" s="90"/>
      <c r="P203" s="90"/>
      <c r="Q203" s="90"/>
      <c r="R203" s="534"/>
      <c r="S203" s="90"/>
      <c r="T203" s="535"/>
    </row>
    <row r="204" spans="2:22" customFormat="1" ht="12" customHeight="1">
      <c r="B204" s="531" t="s">
        <v>164</v>
      </c>
      <c r="C204" s="262" t="s">
        <v>164</v>
      </c>
      <c r="D204" s="534"/>
      <c r="E204" s="90"/>
      <c r="F204" s="90"/>
      <c r="G204" s="90"/>
      <c r="H204" s="90"/>
      <c r="I204" s="90"/>
      <c r="J204" s="90"/>
      <c r="K204" s="90">
        <f t="shared" si="20"/>
        <v>0</v>
      </c>
      <c r="L204" s="90"/>
      <c r="M204" s="90"/>
      <c r="N204" s="90">
        <f t="shared" si="21"/>
        <v>0</v>
      </c>
      <c r="O204" s="90"/>
      <c r="P204" s="90"/>
      <c r="Q204" s="90"/>
      <c r="R204" s="534"/>
      <c r="S204" s="90"/>
      <c r="T204" s="535"/>
    </row>
    <row r="205" spans="2:22" customFormat="1" ht="12" customHeight="1">
      <c r="B205" s="531" t="s">
        <v>165</v>
      </c>
      <c r="C205" s="262" t="s">
        <v>165</v>
      </c>
      <c r="D205" s="90"/>
      <c r="E205" s="90"/>
      <c r="F205" s="90"/>
      <c r="G205" s="90"/>
      <c r="H205" s="90"/>
      <c r="I205" s="90"/>
      <c r="J205" s="90"/>
      <c r="K205" s="90">
        <f t="shared" si="20"/>
        <v>0</v>
      </c>
      <c r="L205" s="90"/>
      <c r="M205" s="90"/>
      <c r="N205" s="90">
        <f t="shared" si="21"/>
        <v>0</v>
      </c>
      <c r="O205" s="90"/>
      <c r="P205" s="90"/>
      <c r="Q205" s="90"/>
      <c r="R205" s="90"/>
      <c r="S205" s="90"/>
      <c r="T205" s="535"/>
    </row>
    <row r="206" spans="2:22" customFormat="1" ht="12" customHeight="1">
      <c r="B206" s="531" t="s">
        <v>166</v>
      </c>
      <c r="C206" s="262" t="s">
        <v>166</v>
      </c>
      <c r="D206" s="534"/>
      <c r="E206" s="90"/>
      <c r="F206" s="90"/>
      <c r="G206" s="90"/>
      <c r="H206" s="90"/>
      <c r="I206" s="90"/>
      <c r="J206" s="90"/>
      <c r="K206" s="90">
        <f t="shared" si="20"/>
        <v>0</v>
      </c>
      <c r="L206" s="90"/>
      <c r="M206" s="90"/>
      <c r="N206" s="90">
        <f t="shared" si="21"/>
        <v>0</v>
      </c>
      <c r="O206" s="90"/>
      <c r="P206" s="90"/>
      <c r="Q206" s="90"/>
      <c r="R206" s="90"/>
      <c r="S206" s="90"/>
      <c r="T206" s="535"/>
    </row>
    <row r="207" spans="2:22" s="313" customFormat="1" ht="12" customHeight="1">
      <c r="B207" s="452" t="s">
        <v>167</v>
      </c>
      <c r="C207" s="267" t="s">
        <v>167</v>
      </c>
      <c r="D207" s="445"/>
      <c r="E207" s="106"/>
      <c r="F207" s="106"/>
      <c r="G207" s="106"/>
      <c r="H207" s="106"/>
      <c r="I207" s="106"/>
      <c r="J207" s="106"/>
      <c r="K207" s="106">
        <f t="shared" si="20"/>
        <v>0</v>
      </c>
      <c r="L207" s="106"/>
      <c r="M207" s="106"/>
      <c r="N207" s="106">
        <f t="shared" si="21"/>
        <v>0</v>
      </c>
      <c r="O207" s="106"/>
      <c r="P207" s="106"/>
      <c r="Q207" s="106"/>
      <c r="R207" s="106"/>
      <c r="S207" s="106"/>
      <c r="T207" s="536"/>
    </row>
    <row r="208" spans="2:22" ht="12" customHeight="1">
      <c r="B208" s="241" t="s">
        <v>335</v>
      </c>
      <c r="C208" s="88"/>
      <c r="D208" s="88"/>
      <c r="E208" s="88"/>
      <c r="F208" s="88"/>
      <c r="G208" s="88"/>
      <c r="H208" s="88"/>
      <c r="I208" s="88"/>
      <c r="J208" s="88"/>
      <c r="K208" s="88"/>
      <c r="L208" s="88"/>
      <c r="M208" s="88"/>
      <c r="N208" s="88"/>
      <c r="O208" s="88"/>
      <c r="P208" s="88"/>
      <c r="Q208" s="88"/>
      <c r="R208" s="88"/>
      <c r="S208" s="88"/>
    </row>
    <row r="209" spans="2:20" ht="12" customHeight="1">
      <c r="B209" s="87" t="s">
        <v>366</v>
      </c>
      <c r="C209" s="88"/>
      <c r="D209" s="88"/>
      <c r="E209" s="88"/>
      <c r="F209" s="88"/>
      <c r="G209" s="88"/>
      <c r="H209" s="88"/>
      <c r="I209" s="88"/>
      <c r="J209" s="88"/>
      <c r="K209" s="88"/>
      <c r="L209" s="88"/>
      <c r="M209" s="88"/>
      <c r="N209" s="88"/>
      <c r="O209" s="88"/>
      <c r="P209" s="88"/>
      <c r="Q209" s="88"/>
      <c r="R209" s="88"/>
      <c r="S209" s="88"/>
    </row>
    <row r="210" spans="2:20" ht="12" customHeight="1">
      <c r="B210" s="193" t="s">
        <v>365</v>
      </c>
      <c r="C210" s="88"/>
      <c r="D210" s="88"/>
      <c r="E210" s="88"/>
      <c r="F210" s="88"/>
      <c r="G210" s="88"/>
      <c r="H210" s="88"/>
      <c r="I210" s="88"/>
      <c r="J210" s="88"/>
      <c r="K210" s="88"/>
      <c r="L210" s="88"/>
      <c r="M210" s="88"/>
      <c r="N210" s="88"/>
      <c r="O210" s="88"/>
      <c r="P210" s="88"/>
      <c r="Q210" s="88"/>
      <c r="R210" s="88"/>
      <c r="S210" s="88"/>
      <c r="T210" s="89" t="s">
        <v>427</v>
      </c>
    </row>
    <row r="211" spans="2:20" ht="12" customHeight="1">
      <c r="B211" s="193" t="s">
        <v>414</v>
      </c>
      <c r="C211" s="88"/>
      <c r="D211" s="88"/>
      <c r="E211" s="88"/>
      <c r="F211" s="88"/>
      <c r="G211" s="88"/>
      <c r="H211" s="88"/>
      <c r="I211" s="88"/>
      <c r="J211" s="88"/>
      <c r="K211" s="88"/>
      <c r="L211" s="88"/>
      <c r="M211" s="88"/>
      <c r="N211" s="88"/>
      <c r="O211" s="88"/>
      <c r="P211" s="88"/>
      <c r="Q211" s="88"/>
      <c r="R211" s="88"/>
      <c r="S211" s="88"/>
    </row>
    <row r="212" spans="2:20" ht="12" customHeight="1">
      <c r="B212" s="88"/>
      <c r="C212" s="88"/>
      <c r="D212" s="88"/>
      <c r="E212" s="88"/>
      <c r="F212" s="88"/>
      <c r="G212" s="88"/>
      <c r="H212" s="88"/>
      <c r="I212" s="88"/>
      <c r="J212" s="88"/>
      <c r="K212" s="88"/>
      <c r="L212" s="88"/>
      <c r="M212" s="88"/>
      <c r="N212" s="88"/>
      <c r="O212" s="88"/>
      <c r="P212" s="88"/>
      <c r="Q212" s="88"/>
      <c r="R212" s="88"/>
      <c r="S212" s="88"/>
    </row>
    <row r="213" spans="2:20" ht="12" customHeight="1">
      <c r="B213" s="88"/>
      <c r="C213" s="88"/>
      <c r="D213" s="88"/>
      <c r="E213" s="88"/>
      <c r="F213" s="88"/>
      <c r="G213" s="88"/>
      <c r="H213" s="88"/>
      <c r="I213" s="88"/>
      <c r="J213" s="88"/>
      <c r="K213" s="88"/>
      <c r="L213" s="88"/>
      <c r="M213" s="88"/>
    </row>
    <row r="214" spans="2:20" ht="12" customHeight="1">
      <c r="B214" s="88"/>
      <c r="C214" s="88"/>
      <c r="D214" s="88"/>
      <c r="E214" s="88"/>
      <c r="F214" s="88"/>
      <c r="G214" s="88"/>
      <c r="H214" s="88"/>
      <c r="I214" s="88"/>
      <c r="J214" s="88"/>
      <c r="K214" s="88"/>
      <c r="L214" s="88"/>
      <c r="M214" s="88"/>
    </row>
    <row r="215" spans="2:20" ht="12" customHeight="1">
      <c r="B215" s="88"/>
      <c r="C215" s="88"/>
      <c r="D215" s="88"/>
      <c r="E215" s="88"/>
      <c r="F215" s="88"/>
      <c r="G215" s="88"/>
      <c r="H215" s="88"/>
      <c r="I215" s="88"/>
      <c r="J215" s="88"/>
      <c r="K215" s="88"/>
      <c r="L215" s="88"/>
      <c r="M215" s="88"/>
    </row>
    <row r="216" spans="2:20" ht="12" customHeight="1">
      <c r="B216" s="88"/>
      <c r="C216" s="88"/>
      <c r="D216" s="88"/>
      <c r="E216" s="88"/>
      <c r="F216" s="88"/>
      <c r="G216" s="88"/>
      <c r="H216" s="88"/>
      <c r="I216" s="88"/>
      <c r="J216" s="88"/>
      <c r="K216" s="88"/>
      <c r="L216" s="88"/>
      <c r="M216" s="88"/>
    </row>
  </sheetData>
  <mergeCells count="35">
    <mergeCell ref="B4:C4"/>
    <mergeCell ref="B8:C14"/>
    <mergeCell ref="D11:D14"/>
    <mergeCell ref="L8:Q10"/>
    <mergeCell ref="E11:E13"/>
    <mergeCell ref="F11:F13"/>
    <mergeCell ref="G11:G13"/>
    <mergeCell ref="H11:H13"/>
    <mergeCell ref="I11:I13"/>
    <mergeCell ref="J11:J13"/>
    <mergeCell ref="K11:K13"/>
    <mergeCell ref="L11:L13"/>
    <mergeCell ref="M11:M13"/>
    <mergeCell ref="T5:T13"/>
    <mergeCell ref="R11:R13"/>
    <mergeCell ref="S11:S13"/>
    <mergeCell ref="P5:P7"/>
    <mergeCell ref="Q5:Q7"/>
    <mergeCell ref="R5:R7"/>
    <mergeCell ref="T16:T123"/>
    <mergeCell ref="S5:S7"/>
    <mergeCell ref="B5:C7"/>
    <mergeCell ref="D5:D7"/>
    <mergeCell ref="E5:K7"/>
    <mergeCell ref="L5:N7"/>
    <mergeCell ref="O5:O7"/>
    <mergeCell ref="B15:C15"/>
    <mergeCell ref="Q11:Q13"/>
    <mergeCell ref="R8:R10"/>
    <mergeCell ref="S8:S10"/>
    <mergeCell ref="N11:N13"/>
    <mergeCell ref="O11:O13"/>
    <mergeCell ref="P11:P13"/>
    <mergeCell ref="D8:D10"/>
    <mergeCell ref="E8:K10"/>
  </mergeCells>
  <phoneticPr fontId="2"/>
  <pageMargins left="0.59055118110236227" right="0" top="0.59055118110236227" bottom="0" header="0.51181102362204722" footer="0.51181102362204722"/>
  <pageSetup paperSize="9" scale="80" orientation="landscape" horizontalDpi="4294967294" verticalDpi="0" r:id="rId1"/>
  <headerFooter alignWithMargins="0"/>
  <ignoredErrors>
    <ignoredError sqref="B17:C63 B16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2:N341"/>
  <sheetViews>
    <sheetView showGridLines="0" showZeros="0" zoomScale="90" zoomScaleNormal="90" zoomScaleSheetLayoutView="90" workbookViewId="0">
      <pane xSplit="3" ySplit="13" topLeftCell="D314" activePane="bottomRight" state="frozen"/>
      <selection activeCell="J188" sqref="J188"/>
      <selection pane="topRight" activeCell="J188" sqref="J188"/>
      <selection pane="bottomLeft" activeCell="J188" sqref="J188"/>
      <selection pane="bottomRight" activeCell="G342" sqref="G342"/>
    </sheetView>
  </sheetViews>
  <sheetFormatPr defaultColWidth="7.625" defaultRowHeight="12" customHeight="1"/>
  <cols>
    <col min="1" max="1" width="5.625" style="73" customWidth="1"/>
    <col min="2" max="2" width="7.625" style="73"/>
    <col min="3" max="3" width="9" style="73" customWidth="1"/>
    <col min="4" max="11" width="10.625" style="73" customWidth="1"/>
    <col min="12" max="12" width="10.625" style="86" customWidth="1"/>
    <col min="13" max="13" width="10.625" style="73" customWidth="1"/>
    <col min="14" max="16384" width="7.625" style="73"/>
  </cols>
  <sheetData>
    <row r="2" spans="2:13" s="242" customFormat="1" ht="15" customHeight="1">
      <c r="B2" s="243" t="s">
        <v>337</v>
      </c>
      <c r="C2" s="244"/>
      <c r="D2" s="244"/>
      <c r="E2" s="245"/>
    </row>
    <row r="4" spans="2:13" ht="12" customHeight="1">
      <c r="B4" s="654" t="s">
        <v>7</v>
      </c>
      <c r="C4" s="655"/>
      <c r="D4" s="667" t="s">
        <v>339</v>
      </c>
      <c r="E4" s="668"/>
      <c r="F4" s="668"/>
      <c r="G4" s="668"/>
      <c r="H4" s="668"/>
      <c r="I4" s="668"/>
      <c r="J4" s="668"/>
      <c r="K4" s="668"/>
      <c r="L4" s="668"/>
      <c r="M4" s="669"/>
    </row>
    <row r="5" spans="2:13" ht="12" customHeight="1">
      <c r="B5" s="643" t="s">
        <v>8</v>
      </c>
      <c r="C5" s="644"/>
      <c r="D5" s="645" t="s">
        <v>46</v>
      </c>
      <c r="E5" s="646"/>
      <c r="F5" s="646"/>
      <c r="G5" s="646"/>
      <c r="H5" s="646"/>
      <c r="I5" s="646"/>
      <c r="J5" s="646"/>
      <c r="K5" s="646"/>
      <c r="L5" s="646"/>
      <c r="M5" s="666"/>
    </row>
    <row r="6" spans="2:13" ht="12" customHeight="1">
      <c r="B6" s="662" t="s">
        <v>140</v>
      </c>
      <c r="C6" s="663"/>
      <c r="D6" s="658" t="s">
        <v>281</v>
      </c>
      <c r="E6" s="646"/>
      <c r="F6" s="646"/>
      <c r="G6" s="649" t="s">
        <v>282</v>
      </c>
      <c r="H6" s="649"/>
      <c r="I6" s="646"/>
      <c r="J6" s="646"/>
      <c r="K6" s="646"/>
      <c r="L6" s="646"/>
      <c r="M6" s="666"/>
    </row>
    <row r="7" spans="2:13" ht="12" customHeight="1">
      <c r="B7" s="662"/>
      <c r="C7" s="663"/>
      <c r="D7" s="645"/>
      <c r="E7" s="646"/>
      <c r="F7" s="646"/>
      <c r="G7" s="649"/>
      <c r="H7" s="649"/>
      <c r="I7" s="646"/>
      <c r="J7" s="646"/>
      <c r="K7" s="646"/>
      <c r="L7" s="646"/>
      <c r="M7" s="666"/>
    </row>
    <row r="8" spans="2:13" ht="12" customHeight="1">
      <c r="B8" s="662"/>
      <c r="C8" s="663"/>
      <c r="D8" s="645"/>
      <c r="E8" s="646"/>
      <c r="F8" s="646"/>
      <c r="G8" s="649"/>
      <c r="H8" s="649"/>
      <c r="I8" s="646"/>
      <c r="J8" s="646"/>
      <c r="K8" s="646"/>
      <c r="L8" s="646"/>
      <c r="M8" s="666"/>
    </row>
    <row r="9" spans="2:13" ht="12" customHeight="1">
      <c r="B9" s="662" t="s">
        <v>194</v>
      </c>
      <c r="C9" s="663"/>
      <c r="D9" s="658" t="s">
        <v>283</v>
      </c>
      <c r="E9" s="650" t="s">
        <v>47</v>
      </c>
      <c r="F9" s="650" t="s">
        <v>284</v>
      </c>
      <c r="G9" s="649" t="s">
        <v>264</v>
      </c>
      <c r="H9" s="650" t="s">
        <v>48</v>
      </c>
      <c r="I9" s="650" t="s">
        <v>285</v>
      </c>
      <c r="J9" s="650" t="s">
        <v>285</v>
      </c>
      <c r="K9" s="650" t="s">
        <v>49</v>
      </c>
      <c r="L9" s="650" t="s">
        <v>193</v>
      </c>
      <c r="M9" s="659" t="s">
        <v>138</v>
      </c>
    </row>
    <row r="10" spans="2:13" ht="12" customHeight="1">
      <c r="B10" s="662"/>
      <c r="C10" s="663"/>
      <c r="D10" s="658"/>
      <c r="E10" s="650"/>
      <c r="F10" s="650"/>
      <c r="G10" s="649"/>
      <c r="H10" s="650"/>
      <c r="I10" s="650"/>
      <c r="J10" s="650"/>
      <c r="K10" s="650"/>
      <c r="L10" s="650"/>
      <c r="M10" s="659"/>
    </row>
    <row r="11" spans="2:13" ht="12" customHeight="1">
      <c r="B11" s="662"/>
      <c r="C11" s="663"/>
      <c r="D11" s="658" t="s">
        <v>286</v>
      </c>
      <c r="E11" s="650" t="s">
        <v>50</v>
      </c>
      <c r="F11" s="650" t="s">
        <v>287</v>
      </c>
      <c r="G11" s="649" t="s">
        <v>51</v>
      </c>
      <c r="H11" s="650" t="s">
        <v>52</v>
      </c>
      <c r="I11" s="650" t="s">
        <v>53</v>
      </c>
      <c r="J11" s="650" t="s">
        <v>54</v>
      </c>
      <c r="K11" s="650" t="s">
        <v>288</v>
      </c>
      <c r="L11" s="650"/>
      <c r="M11" s="659"/>
    </row>
    <row r="12" spans="2:13" ht="12" customHeight="1">
      <c r="B12" s="662"/>
      <c r="C12" s="663"/>
      <c r="D12" s="658"/>
      <c r="E12" s="650"/>
      <c r="F12" s="650"/>
      <c r="G12" s="649"/>
      <c r="H12" s="650"/>
      <c r="I12" s="650"/>
      <c r="J12" s="650"/>
      <c r="K12" s="650"/>
      <c r="L12" s="650"/>
      <c r="M12" s="659"/>
    </row>
    <row r="13" spans="2:13" ht="12" customHeight="1">
      <c r="B13" s="664"/>
      <c r="C13" s="665"/>
      <c r="D13" s="670"/>
      <c r="E13" s="661"/>
      <c r="F13" s="661"/>
      <c r="G13" s="671"/>
      <c r="H13" s="661"/>
      <c r="I13" s="661"/>
      <c r="J13" s="661"/>
      <c r="K13" s="661"/>
      <c r="L13" s="661"/>
      <c r="M13" s="660"/>
    </row>
    <row r="14" spans="2:13" ht="12" hidden="1" customHeight="1">
      <c r="B14" s="260" t="s">
        <v>146</v>
      </c>
      <c r="C14" s="261" t="s">
        <v>379</v>
      </c>
      <c r="D14" s="295">
        <v>356200</v>
      </c>
      <c r="E14" s="296">
        <v>359995.83333333331</v>
      </c>
      <c r="F14" s="297">
        <f>E14*0.2</f>
        <v>71999.166666666672</v>
      </c>
      <c r="G14" s="296">
        <v>1316</v>
      </c>
      <c r="H14" s="296">
        <f>G14*60</f>
        <v>78960</v>
      </c>
      <c r="I14" s="296">
        <v>13640</v>
      </c>
      <c r="J14" s="231">
        <f>I14/48</f>
        <v>284.16666666666669</v>
      </c>
      <c r="K14" s="231">
        <f>F14-J14</f>
        <v>71715</v>
      </c>
      <c r="L14" s="298" t="s">
        <v>357</v>
      </c>
      <c r="M14" s="299">
        <f t="shared" ref="M14:M77" si="0">K14/$K$85*100</f>
        <v>88.124519993855927</v>
      </c>
    </row>
    <row r="15" spans="2:13" ht="12" hidden="1" customHeight="1">
      <c r="B15" s="103" t="s">
        <v>147</v>
      </c>
      <c r="C15" s="262" t="s">
        <v>147</v>
      </c>
      <c r="D15" s="290">
        <v>359300</v>
      </c>
      <c r="E15" s="293">
        <v>360518.75</v>
      </c>
      <c r="F15" s="292">
        <f t="shared" ref="F15:F78" si="1">E15*0.2</f>
        <v>72103.75</v>
      </c>
      <c r="G15" s="293">
        <v>1261</v>
      </c>
      <c r="H15" s="293">
        <f t="shared" ref="H15:H78" si="2">G15*60</f>
        <v>75660</v>
      </c>
      <c r="I15" s="293">
        <v>8820</v>
      </c>
      <c r="J15" s="233">
        <f t="shared" ref="J15:J78" si="3">I15/48</f>
        <v>183.75</v>
      </c>
      <c r="K15" s="233">
        <f t="shared" ref="K15:K78" si="4">F15-J15</f>
        <v>71920</v>
      </c>
      <c r="L15" s="300" t="s">
        <v>357</v>
      </c>
      <c r="M15" s="294">
        <f t="shared" si="0"/>
        <v>88.37642721826839</v>
      </c>
    </row>
    <row r="16" spans="2:13" ht="12" hidden="1" customHeight="1">
      <c r="B16" s="103" t="s">
        <v>148</v>
      </c>
      <c r="C16" s="262" t="s">
        <v>148</v>
      </c>
      <c r="D16" s="290">
        <v>362800</v>
      </c>
      <c r="E16" s="293">
        <v>361095.83333333331</v>
      </c>
      <c r="F16" s="292">
        <f t="shared" si="1"/>
        <v>72219.166666666672</v>
      </c>
      <c r="G16" s="293">
        <v>1257</v>
      </c>
      <c r="H16" s="293">
        <f t="shared" si="2"/>
        <v>75420</v>
      </c>
      <c r="I16" s="293">
        <v>8400</v>
      </c>
      <c r="J16" s="233">
        <f t="shared" si="3"/>
        <v>175</v>
      </c>
      <c r="K16" s="233">
        <f t="shared" si="4"/>
        <v>72044.166666666672</v>
      </c>
      <c r="L16" s="300" t="s">
        <v>357</v>
      </c>
      <c r="M16" s="294">
        <f t="shared" si="0"/>
        <v>88.529005171266192</v>
      </c>
    </row>
    <row r="17" spans="2:13" ht="12" hidden="1" customHeight="1">
      <c r="B17" s="103" t="s">
        <v>149</v>
      </c>
      <c r="C17" s="262" t="s">
        <v>149</v>
      </c>
      <c r="D17" s="290">
        <v>362300</v>
      </c>
      <c r="E17" s="293">
        <v>361481.25</v>
      </c>
      <c r="F17" s="292">
        <f t="shared" si="1"/>
        <v>72296.25</v>
      </c>
      <c r="G17" s="293">
        <v>1265</v>
      </c>
      <c r="H17" s="293">
        <f t="shared" si="2"/>
        <v>75900</v>
      </c>
      <c r="I17" s="293">
        <v>7140</v>
      </c>
      <c r="J17" s="233">
        <f t="shared" si="3"/>
        <v>148.75</v>
      </c>
      <c r="K17" s="233">
        <f t="shared" si="4"/>
        <v>72147.5</v>
      </c>
      <c r="L17" s="300" t="s">
        <v>357</v>
      </c>
      <c r="M17" s="294">
        <f t="shared" si="0"/>
        <v>88.655982796579792</v>
      </c>
    </row>
    <row r="18" spans="2:13" ht="12" hidden="1" customHeight="1">
      <c r="B18" s="103" t="s">
        <v>150</v>
      </c>
      <c r="C18" s="262" t="s">
        <v>150</v>
      </c>
      <c r="D18" s="290">
        <v>357300</v>
      </c>
      <c r="E18" s="293">
        <v>361645.83333333331</v>
      </c>
      <c r="F18" s="292">
        <f t="shared" si="1"/>
        <v>72329.166666666672</v>
      </c>
      <c r="G18" s="293">
        <v>1350</v>
      </c>
      <c r="H18" s="293">
        <f t="shared" si="2"/>
        <v>81000</v>
      </c>
      <c r="I18" s="293">
        <v>11120</v>
      </c>
      <c r="J18" s="233">
        <f t="shared" si="3"/>
        <v>231.66666666666666</v>
      </c>
      <c r="K18" s="233">
        <f t="shared" si="4"/>
        <v>72097.5</v>
      </c>
      <c r="L18" s="300" t="s">
        <v>357</v>
      </c>
      <c r="M18" s="294">
        <f t="shared" si="0"/>
        <v>88.594542010137729</v>
      </c>
    </row>
    <row r="19" spans="2:13" ht="12" hidden="1" customHeight="1">
      <c r="B19" s="103" t="s">
        <v>151</v>
      </c>
      <c r="C19" s="262" t="s">
        <v>151</v>
      </c>
      <c r="D19" s="290">
        <v>354000</v>
      </c>
      <c r="E19" s="293">
        <v>361727.08333333331</v>
      </c>
      <c r="F19" s="292">
        <f t="shared" si="1"/>
        <v>72345.416666666672</v>
      </c>
      <c r="G19" s="293">
        <v>1291</v>
      </c>
      <c r="H19" s="293">
        <f t="shared" si="2"/>
        <v>77460</v>
      </c>
      <c r="I19" s="293">
        <v>7440</v>
      </c>
      <c r="J19" s="233">
        <f t="shared" si="3"/>
        <v>155</v>
      </c>
      <c r="K19" s="233">
        <f t="shared" si="4"/>
        <v>72190.416666666672</v>
      </c>
      <c r="L19" s="300" t="s">
        <v>357</v>
      </c>
      <c r="M19" s="294">
        <f t="shared" si="0"/>
        <v>88.708719471609228</v>
      </c>
    </row>
    <row r="20" spans="2:13" ht="12" hidden="1" customHeight="1">
      <c r="B20" s="103" t="s">
        <v>152</v>
      </c>
      <c r="C20" s="262" t="s">
        <v>152</v>
      </c>
      <c r="D20" s="290">
        <v>350200</v>
      </c>
      <c r="E20" s="293">
        <v>361743.75</v>
      </c>
      <c r="F20" s="292">
        <f t="shared" si="1"/>
        <v>72348.75</v>
      </c>
      <c r="G20" s="293">
        <v>1322</v>
      </c>
      <c r="H20" s="293">
        <f t="shared" si="2"/>
        <v>79320</v>
      </c>
      <c r="I20" s="293">
        <v>9440</v>
      </c>
      <c r="J20" s="233">
        <f t="shared" si="3"/>
        <v>196.66666666666666</v>
      </c>
      <c r="K20" s="233">
        <f t="shared" si="4"/>
        <v>72152.083333333328</v>
      </c>
      <c r="L20" s="300" t="s">
        <v>357</v>
      </c>
      <c r="M20" s="294">
        <f t="shared" si="0"/>
        <v>88.661614868670313</v>
      </c>
    </row>
    <row r="21" spans="2:13" ht="12" hidden="1" customHeight="1">
      <c r="B21" s="103" t="s">
        <v>153</v>
      </c>
      <c r="C21" s="262" t="s">
        <v>153</v>
      </c>
      <c r="D21" s="290">
        <v>347700</v>
      </c>
      <c r="E21" s="293">
        <v>361708.33333333331</v>
      </c>
      <c r="F21" s="292">
        <f t="shared" si="1"/>
        <v>72341.666666666672</v>
      </c>
      <c r="G21" s="293">
        <v>1315</v>
      </c>
      <c r="H21" s="293">
        <f t="shared" si="2"/>
        <v>78900</v>
      </c>
      <c r="I21" s="293">
        <v>9020</v>
      </c>
      <c r="J21" s="233">
        <f t="shared" si="3"/>
        <v>187.91666666666666</v>
      </c>
      <c r="K21" s="233">
        <f t="shared" si="4"/>
        <v>72153.75</v>
      </c>
      <c r="L21" s="300" t="s">
        <v>357</v>
      </c>
      <c r="M21" s="294">
        <f t="shared" si="0"/>
        <v>88.66366289488505</v>
      </c>
    </row>
    <row r="22" spans="2:13" ht="12" hidden="1" customHeight="1">
      <c r="B22" s="103" t="s">
        <v>154</v>
      </c>
      <c r="C22" s="262" t="s">
        <v>154</v>
      </c>
      <c r="D22" s="290">
        <v>347800</v>
      </c>
      <c r="E22" s="293">
        <v>361641.66666666669</v>
      </c>
      <c r="F22" s="292">
        <f t="shared" si="1"/>
        <v>72328.333333333343</v>
      </c>
      <c r="G22" s="293">
        <v>1328</v>
      </c>
      <c r="H22" s="293">
        <f t="shared" si="2"/>
        <v>79680</v>
      </c>
      <c r="I22" s="293">
        <v>9480</v>
      </c>
      <c r="J22" s="233">
        <f t="shared" si="3"/>
        <v>197.5</v>
      </c>
      <c r="K22" s="233">
        <f t="shared" si="4"/>
        <v>72130.833333333343</v>
      </c>
      <c r="L22" s="300" t="s">
        <v>357</v>
      </c>
      <c r="M22" s="294">
        <f t="shared" si="0"/>
        <v>88.635502534432447</v>
      </c>
    </row>
    <row r="23" spans="2:13" ht="12" hidden="1" customHeight="1">
      <c r="B23" s="103" t="s">
        <v>155</v>
      </c>
      <c r="C23" s="262" t="s">
        <v>155</v>
      </c>
      <c r="D23" s="290">
        <v>349100</v>
      </c>
      <c r="E23" s="293">
        <v>361579.16666666669</v>
      </c>
      <c r="F23" s="292">
        <f t="shared" si="1"/>
        <v>72315.833333333343</v>
      </c>
      <c r="G23" s="293">
        <v>1262</v>
      </c>
      <c r="H23" s="293">
        <f t="shared" si="2"/>
        <v>75720</v>
      </c>
      <c r="I23" s="293">
        <v>5300</v>
      </c>
      <c r="J23" s="233">
        <f t="shared" si="3"/>
        <v>110.41666666666667</v>
      </c>
      <c r="K23" s="233">
        <f t="shared" si="4"/>
        <v>72205.416666666672</v>
      </c>
      <c r="L23" s="300" t="s">
        <v>357</v>
      </c>
      <c r="M23" s="294">
        <f t="shared" si="0"/>
        <v>88.727151707541864</v>
      </c>
    </row>
    <row r="24" spans="2:13" ht="12" hidden="1" customHeight="1">
      <c r="B24" s="103" t="s">
        <v>156</v>
      </c>
      <c r="C24" s="262" t="s">
        <v>156</v>
      </c>
      <c r="D24" s="290">
        <v>347500</v>
      </c>
      <c r="E24" s="293">
        <v>361393.75</v>
      </c>
      <c r="F24" s="292">
        <f t="shared" si="1"/>
        <v>72278.75</v>
      </c>
      <c r="G24" s="293">
        <v>1261</v>
      </c>
      <c r="H24" s="293">
        <f t="shared" si="2"/>
        <v>75660</v>
      </c>
      <c r="I24" s="293">
        <v>4380</v>
      </c>
      <c r="J24" s="233">
        <f t="shared" si="3"/>
        <v>91.25</v>
      </c>
      <c r="K24" s="233">
        <f t="shared" si="4"/>
        <v>72187.5</v>
      </c>
      <c r="L24" s="300" t="s">
        <v>357</v>
      </c>
      <c r="M24" s="294">
        <f t="shared" si="0"/>
        <v>88.705135425733445</v>
      </c>
    </row>
    <row r="25" spans="2:13" ht="12" hidden="1" customHeight="1">
      <c r="B25" s="105" t="s">
        <v>157</v>
      </c>
      <c r="C25" s="263" t="s">
        <v>157</v>
      </c>
      <c r="D25" s="290">
        <v>350300</v>
      </c>
      <c r="E25" s="293">
        <v>361210.41666666669</v>
      </c>
      <c r="F25" s="292">
        <f t="shared" si="1"/>
        <v>72242.083333333343</v>
      </c>
      <c r="G25" s="293">
        <v>1250</v>
      </c>
      <c r="H25" s="293">
        <f t="shared" si="2"/>
        <v>75000</v>
      </c>
      <c r="I25" s="293">
        <v>3180</v>
      </c>
      <c r="J25" s="233">
        <f t="shared" si="3"/>
        <v>66.25</v>
      </c>
      <c r="K25" s="233">
        <f t="shared" si="4"/>
        <v>72175.833333333343</v>
      </c>
      <c r="L25" s="300" t="s">
        <v>357</v>
      </c>
      <c r="M25" s="294">
        <f t="shared" si="0"/>
        <v>88.690799242230312</v>
      </c>
    </row>
    <row r="26" spans="2:13" ht="12" hidden="1" customHeight="1">
      <c r="B26" s="104" t="s">
        <v>158</v>
      </c>
      <c r="C26" s="264" t="s">
        <v>159</v>
      </c>
      <c r="D26" s="301">
        <v>351000</v>
      </c>
      <c r="E26" s="302">
        <v>361070.83333333331</v>
      </c>
      <c r="F26" s="303">
        <f t="shared" si="1"/>
        <v>72214.166666666672</v>
      </c>
      <c r="G26" s="302">
        <v>1220</v>
      </c>
      <c r="H26" s="302">
        <f t="shared" si="2"/>
        <v>73200</v>
      </c>
      <c r="I26" s="302">
        <v>1660</v>
      </c>
      <c r="J26" s="239">
        <f t="shared" si="3"/>
        <v>34.583333333333336</v>
      </c>
      <c r="K26" s="239">
        <f t="shared" si="4"/>
        <v>72179.583333333343</v>
      </c>
      <c r="L26" s="178">
        <f>K26/K14*100</f>
        <v>100.64781891282624</v>
      </c>
      <c r="M26" s="304">
        <f t="shared" si="0"/>
        <v>88.695407301213464</v>
      </c>
    </row>
    <row r="27" spans="2:13" ht="12" hidden="1" customHeight="1">
      <c r="B27" s="103" t="s">
        <v>147</v>
      </c>
      <c r="C27" s="262" t="s">
        <v>147</v>
      </c>
      <c r="D27" s="290">
        <v>362000</v>
      </c>
      <c r="E27" s="293">
        <v>361168.75</v>
      </c>
      <c r="F27" s="292">
        <f t="shared" si="1"/>
        <v>72233.75</v>
      </c>
      <c r="G27" s="293">
        <v>1294</v>
      </c>
      <c r="H27" s="293">
        <f t="shared" si="2"/>
        <v>77640</v>
      </c>
      <c r="I27" s="293">
        <v>6180</v>
      </c>
      <c r="J27" s="233">
        <f t="shared" si="3"/>
        <v>128.75</v>
      </c>
      <c r="K27" s="233">
        <f t="shared" si="4"/>
        <v>72105</v>
      </c>
      <c r="L27" s="175">
        <f t="shared" ref="L27:L90" si="5">K27/K15*100</f>
        <v>100.25723025583981</v>
      </c>
      <c r="M27" s="294">
        <f t="shared" si="0"/>
        <v>88.603758128104033</v>
      </c>
    </row>
    <row r="28" spans="2:13" ht="12" hidden="1" customHeight="1">
      <c r="B28" s="103" t="s">
        <v>148</v>
      </c>
      <c r="C28" s="262" t="s">
        <v>148</v>
      </c>
      <c r="D28" s="290">
        <v>368700</v>
      </c>
      <c r="E28" s="293">
        <v>361339.58333333331</v>
      </c>
      <c r="F28" s="292">
        <f t="shared" si="1"/>
        <v>72267.916666666672</v>
      </c>
      <c r="G28" s="293">
        <v>1328</v>
      </c>
      <c r="H28" s="293">
        <f t="shared" si="2"/>
        <v>79680</v>
      </c>
      <c r="I28" s="293">
        <v>7580</v>
      </c>
      <c r="J28" s="233">
        <f t="shared" si="3"/>
        <v>157.91666666666666</v>
      </c>
      <c r="K28" s="233">
        <f t="shared" si="4"/>
        <v>72110</v>
      </c>
      <c r="L28" s="175">
        <f t="shared" si="5"/>
        <v>100.09137913085722</v>
      </c>
      <c r="M28" s="294">
        <f t="shared" si="0"/>
        <v>88.609902206748231</v>
      </c>
    </row>
    <row r="29" spans="2:13" ht="12" hidden="1" customHeight="1">
      <c r="B29" s="103" t="s">
        <v>149</v>
      </c>
      <c r="C29" s="262" t="s">
        <v>149</v>
      </c>
      <c r="D29" s="290">
        <v>368900</v>
      </c>
      <c r="E29" s="293">
        <v>361427.08333333331</v>
      </c>
      <c r="F29" s="292">
        <f t="shared" si="1"/>
        <v>72285.416666666672</v>
      </c>
      <c r="G29" s="293">
        <v>1467</v>
      </c>
      <c r="H29" s="293">
        <f t="shared" si="2"/>
        <v>88020</v>
      </c>
      <c r="I29" s="293">
        <v>15080</v>
      </c>
      <c r="J29" s="233">
        <f t="shared" si="3"/>
        <v>314.16666666666669</v>
      </c>
      <c r="K29" s="233">
        <f t="shared" si="4"/>
        <v>71971.25</v>
      </c>
      <c r="L29" s="175">
        <f t="shared" si="5"/>
        <v>99.755708791018407</v>
      </c>
      <c r="M29" s="294">
        <f t="shared" si="0"/>
        <v>88.439404024371498</v>
      </c>
    </row>
    <row r="30" spans="2:13" ht="12" hidden="1" customHeight="1">
      <c r="B30" s="103" t="s">
        <v>150</v>
      </c>
      <c r="C30" s="262" t="s">
        <v>150</v>
      </c>
      <c r="D30" s="290">
        <v>374600</v>
      </c>
      <c r="E30" s="293">
        <v>361633.33333333331</v>
      </c>
      <c r="F30" s="292">
        <f t="shared" si="1"/>
        <v>72326.666666666672</v>
      </c>
      <c r="G30" s="293">
        <v>1561</v>
      </c>
      <c r="H30" s="293">
        <f t="shared" si="2"/>
        <v>93660</v>
      </c>
      <c r="I30" s="293">
        <v>20720</v>
      </c>
      <c r="J30" s="233">
        <f t="shared" si="3"/>
        <v>431.66666666666669</v>
      </c>
      <c r="K30" s="233">
        <f t="shared" si="4"/>
        <v>71895</v>
      </c>
      <c r="L30" s="175">
        <f t="shared" si="5"/>
        <v>99.719130344325393</v>
      </c>
      <c r="M30" s="294">
        <f t="shared" si="0"/>
        <v>88.345706825047358</v>
      </c>
    </row>
    <row r="31" spans="2:13" ht="12" hidden="1" customHeight="1">
      <c r="B31" s="103" t="s">
        <v>151</v>
      </c>
      <c r="C31" s="262" t="s">
        <v>151</v>
      </c>
      <c r="D31" s="290">
        <v>374900</v>
      </c>
      <c r="E31" s="293">
        <v>361883.33333333331</v>
      </c>
      <c r="F31" s="292">
        <f t="shared" si="1"/>
        <v>72376.666666666672</v>
      </c>
      <c r="G31" s="293">
        <v>1590</v>
      </c>
      <c r="H31" s="293">
        <f t="shared" si="2"/>
        <v>95400</v>
      </c>
      <c r="I31" s="293">
        <v>22820</v>
      </c>
      <c r="J31" s="233">
        <f t="shared" si="3"/>
        <v>475.41666666666669</v>
      </c>
      <c r="K31" s="233">
        <f t="shared" si="4"/>
        <v>71901.25</v>
      </c>
      <c r="L31" s="175">
        <f t="shared" si="5"/>
        <v>99.599438983706278</v>
      </c>
      <c r="M31" s="294">
        <f t="shared" si="0"/>
        <v>88.353386923352616</v>
      </c>
    </row>
    <row r="32" spans="2:13" ht="12" hidden="1" customHeight="1">
      <c r="B32" s="103" t="s">
        <v>152</v>
      </c>
      <c r="C32" s="262" t="s">
        <v>152</v>
      </c>
      <c r="D32" s="290">
        <v>367600</v>
      </c>
      <c r="E32" s="293">
        <v>362004.16666666669</v>
      </c>
      <c r="F32" s="292">
        <f t="shared" si="1"/>
        <v>72400.833333333343</v>
      </c>
      <c r="G32" s="293">
        <v>1539</v>
      </c>
      <c r="H32" s="293">
        <f t="shared" si="2"/>
        <v>92340</v>
      </c>
      <c r="I32" s="293">
        <v>19980</v>
      </c>
      <c r="J32" s="233">
        <f t="shared" si="3"/>
        <v>416.25</v>
      </c>
      <c r="K32" s="233">
        <f t="shared" si="4"/>
        <v>71984.583333333343</v>
      </c>
      <c r="L32" s="175">
        <f t="shared" si="5"/>
        <v>99.767851471140261</v>
      </c>
      <c r="M32" s="294">
        <f t="shared" si="0"/>
        <v>88.455788234089411</v>
      </c>
    </row>
    <row r="33" spans="2:13" ht="12" hidden="1" customHeight="1">
      <c r="B33" s="103" t="s">
        <v>153</v>
      </c>
      <c r="C33" s="262" t="s">
        <v>153</v>
      </c>
      <c r="D33" s="290">
        <v>366700</v>
      </c>
      <c r="E33" s="293">
        <v>362141.66666666669</v>
      </c>
      <c r="F33" s="292">
        <f t="shared" si="1"/>
        <v>72428.333333333343</v>
      </c>
      <c r="G33" s="293">
        <v>1619</v>
      </c>
      <c r="H33" s="293">
        <f t="shared" si="2"/>
        <v>97140</v>
      </c>
      <c r="I33" s="293">
        <v>25120</v>
      </c>
      <c r="J33" s="233">
        <f t="shared" si="3"/>
        <v>523.33333333333337</v>
      </c>
      <c r="K33" s="233">
        <f t="shared" si="4"/>
        <v>71905.000000000015</v>
      </c>
      <c r="L33" s="175">
        <f t="shared" si="5"/>
        <v>99.655250073627528</v>
      </c>
      <c r="M33" s="294">
        <f t="shared" si="0"/>
        <v>88.357994982335782</v>
      </c>
    </row>
    <row r="34" spans="2:13" ht="12" hidden="1" customHeight="1">
      <c r="B34" s="103" t="s">
        <v>154</v>
      </c>
      <c r="C34" s="262" t="s">
        <v>154</v>
      </c>
      <c r="D34" s="290">
        <v>369500</v>
      </c>
      <c r="E34" s="293">
        <v>362302.08333333331</v>
      </c>
      <c r="F34" s="292">
        <f t="shared" si="1"/>
        <v>72460.416666666672</v>
      </c>
      <c r="G34" s="293">
        <v>1595</v>
      </c>
      <c r="H34" s="293">
        <f t="shared" si="2"/>
        <v>95700</v>
      </c>
      <c r="I34" s="293">
        <v>23340</v>
      </c>
      <c r="J34" s="233">
        <f t="shared" si="3"/>
        <v>486.25</v>
      </c>
      <c r="K34" s="233">
        <f t="shared" si="4"/>
        <v>71974.166666666672</v>
      </c>
      <c r="L34" s="175">
        <f t="shared" si="5"/>
        <v>99.782802084175742</v>
      </c>
      <c r="M34" s="294">
        <f t="shared" si="0"/>
        <v>88.442988070247296</v>
      </c>
    </row>
    <row r="35" spans="2:13" ht="12" hidden="1" customHeight="1">
      <c r="B35" s="103" t="s">
        <v>155</v>
      </c>
      <c r="C35" s="262" t="s">
        <v>155</v>
      </c>
      <c r="D35" s="290">
        <v>372700</v>
      </c>
      <c r="E35" s="293">
        <v>362497.91666666669</v>
      </c>
      <c r="F35" s="292">
        <f t="shared" si="1"/>
        <v>72499.583333333343</v>
      </c>
      <c r="G35" s="293">
        <v>1564</v>
      </c>
      <c r="H35" s="293">
        <f t="shared" si="2"/>
        <v>93840</v>
      </c>
      <c r="I35" s="293">
        <v>21180</v>
      </c>
      <c r="J35" s="233">
        <f t="shared" si="3"/>
        <v>441.25</v>
      </c>
      <c r="K35" s="233">
        <f t="shared" si="4"/>
        <v>72058.333333333343</v>
      </c>
      <c r="L35" s="175">
        <f t="shared" si="5"/>
        <v>99.79629875413319</v>
      </c>
      <c r="M35" s="294">
        <f t="shared" si="0"/>
        <v>88.546413394091445</v>
      </c>
    </row>
    <row r="36" spans="2:13" ht="12" hidden="1" customHeight="1">
      <c r="B36" s="103" t="s">
        <v>156</v>
      </c>
      <c r="C36" s="262" t="s">
        <v>156</v>
      </c>
      <c r="D36" s="290">
        <v>381100</v>
      </c>
      <c r="E36" s="293">
        <v>362983.33333333331</v>
      </c>
      <c r="F36" s="292">
        <f t="shared" si="1"/>
        <v>72596.666666666672</v>
      </c>
      <c r="G36" s="293">
        <v>1589</v>
      </c>
      <c r="H36" s="293">
        <f t="shared" si="2"/>
        <v>95340</v>
      </c>
      <c r="I36" s="293">
        <v>23780</v>
      </c>
      <c r="J36" s="233">
        <f t="shared" si="3"/>
        <v>495.41666666666669</v>
      </c>
      <c r="K36" s="233">
        <f t="shared" si="4"/>
        <v>72101.25</v>
      </c>
      <c r="L36" s="175">
        <f t="shared" si="5"/>
        <v>99.880519480519482</v>
      </c>
      <c r="M36" s="294">
        <f t="shared" si="0"/>
        <v>88.599150069120881</v>
      </c>
    </row>
    <row r="37" spans="2:13" ht="12" hidden="1" customHeight="1">
      <c r="B37" s="105" t="s">
        <v>157</v>
      </c>
      <c r="C37" s="263" t="s">
        <v>157</v>
      </c>
      <c r="D37" s="305">
        <v>388600</v>
      </c>
      <c r="E37" s="306">
        <v>363625</v>
      </c>
      <c r="F37" s="307">
        <f t="shared" si="1"/>
        <v>72725</v>
      </c>
      <c r="G37" s="306">
        <v>1550</v>
      </c>
      <c r="H37" s="306">
        <f t="shared" si="2"/>
        <v>93000</v>
      </c>
      <c r="I37" s="306">
        <v>21440</v>
      </c>
      <c r="J37" s="235">
        <f t="shared" si="3"/>
        <v>446.66666666666669</v>
      </c>
      <c r="K37" s="235">
        <f t="shared" si="4"/>
        <v>72278.333333333328</v>
      </c>
      <c r="L37" s="182">
        <f t="shared" si="5"/>
        <v>100.14201429379639</v>
      </c>
      <c r="M37" s="308">
        <f t="shared" si="0"/>
        <v>88.816752854436515</v>
      </c>
    </row>
    <row r="38" spans="2:13" ht="12" hidden="1" customHeight="1">
      <c r="B38" s="104" t="s">
        <v>197</v>
      </c>
      <c r="C38" s="264" t="s">
        <v>196</v>
      </c>
      <c r="D38" s="290">
        <v>391600</v>
      </c>
      <c r="E38" s="293">
        <v>364293.75</v>
      </c>
      <c r="F38" s="292">
        <f t="shared" si="1"/>
        <v>72858.75</v>
      </c>
      <c r="G38" s="293">
        <v>1681</v>
      </c>
      <c r="H38" s="293">
        <f t="shared" si="2"/>
        <v>100860</v>
      </c>
      <c r="I38" s="293">
        <v>28960</v>
      </c>
      <c r="J38" s="233">
        <f t="shared" si="3"/>
        <v>603.33333333333337</v>
      </c>
      <c r="K38" s="233">
        <f t="shared" si="4"/>
        <v>72255.416666666672</v>
      </c>
      <c r="L38" s="175">
        <f t="shared" si="5"/>
        <v>100.10506202700439</v>
      </c>
      <c r="M38" s="294">
        <f t="shared" si="0"/>
        <v>88.788592493983913</v>
      </c>
    </row>
    <row r="39" spans="2:13" ht="12" hidden="1" customHeight="1">
      <c r="B39" s="103" t="s">
        <v>198</v>
      </c>
      <c r="C39" s="262" t="s">
        <v>198</v>
      </c>
      <c r="D39" s="290">
        <v>400700</v>
      </c>
      <c r="E39" s="293">
        <v>365068.75</v>
      </c>
      <c r="F39" s="292">
        <f t="shared" si="1"/>
        <v>73013.75</v>
      </c>
      <c r="G39" s="293">
        <v>1678</v>
      </c>
      <c r="H39" s="293">
        <f t="shared" si="2"/>
        <v>100680</v>
      </c>
      <c r="I39" s="293">
        <v>27980</v>
      </c>
      <c r="J39" s="233">
        <f t="shared" si="3"/>
        <v>582.91666666666663</v>
      </c>
      <c r="K39" s="233">
        <f t="shared" si="4"/>
        <v>72430.833333333328</v>
      </c>
      <c r="L39" s="175">
        <f t="shared" si="5"/>
        <v>100.45188729399254</v>
      </c>
      <c r="M39" s="294">
        <f t="shared" si="0"/>
        <v>89.004147253084824</v>
      </c>
    </row>
    <row r="40" spans="2:13" ht="12" hidden="1" customHeight="1">
      <c r="B40" s="103" t="s">
        <v>199</v>
      </c>
      <c r="C40" s="262" t="s">
        <v>199</v>
      </c>
      <c r="D40" s="290">
        <v>402100</v>
      </c>
      <c r="E40" s="293">
        <v>365789.58333333331</v>
      </c>
      <c r="F40" s="292">
        <f t="shared" si="1"/>
        <v>73157.916666666672</v>
      </c>
      <c r="G40" s="293">
        <v>1690</v>
      </c>
      <c r="H40" s="293">
        <f t="shared" si="2"/>
        <v>101400</v>
      </c>
      <c r="I40" s="293">
        <v>27900</v>
      </c>
      <c r="J40" s="233">
        <f t="shared" si="3"/>
        <v>581.25</v>
      </c>
      <c r="K40" s="233">
        <f t="shared" si="4"/>
        <v>72576.666666666672</v>
      </c>
      <c r="L40" s="175">
        <f t="shared" si="5"/>
        <v>100.64715943234874</v>
      </c>
      <c r="M40" s="294">
        <f t="shared" si="0"/>
        <v>89.183349546874197</v>
      </c>
    </row>
    <row r="41" spans="2:13" ht="12" hidden="1" customHeight="1">
      <c r="B41" s="103" t="s">
        <v>200</v>
      </c>
      <c r="C41" s="262" t="s">
        <v>200</v>
      </c>
      <c r="D41" s="290">
        <v>407300</v>
      </c>
      <c r="E41" s="293">
        <v>366545.83333333331</v>
      </c>
      <c r="F41" s="292">
        <f t="shared" si="1"/>
        <v>73309.166666666672</v>
      </c>
      <c r="G41" s="293">
        <v>1671</v>
      </c>
      <c r="H41" s="293">
        <f t="shared" si="2"/>
        <v>100260</v>
      </c>
      <c r="I41" s="293">
        <v>26060</v>
      </c>
      <c r="J41" s="233">
        <f t="shared" si="3"/>
        <v>542.91666666666663</v>
      </c>
      <c r="K41" s="233">
        <f t="shared" si="4"/>
        <v>72766.25</v>
      </c>
      <c r="L41" s="175">
        <f t="shared" si="5"/>
        <v>101.10460774267503</v>
      </c>
      <c r="M41" s="294">
        <f t="shared" si="0"/>
        <v>89.416312528800361</v>
      </c>
    </row>
    <row r="42" spans="2:13" ht="12" hidden="1" customHeight="1">
      <c r="B42" s="103" t="s">
        <v>201</v>
      </c>
      <c r="C42" s="262" t="s">
        <v>201</v>
      </c>
      <c r="D42" s="290">
        <v>412900</v>
      </c>
      <c r="E42" s="293">
        <v>367397.91666666669</v>
      </c>
      <c r="F42" s="292">
        <f t="shared" si="1"/>
        <v>73479.583333333343</v>
      </c>
      <c r="G42" s="293">
        <v>1715</v>
      </c>
      <c r="H42" s="293">
        <f t="shared" si="2"/>
        <v>102900</v>
      </c>
      <c r="I42" s="293">
        <v>28500</v>
      </c>
      <c r="J42" s="233">
        <f t="shared" si="3"/>
        <v>593.75</v>
      </c>
      <c r="K42" s="233">
        <f t="shared" si="4"/>
        <v>72885.833333333343</v>
      </c>
      <c r="L42" s="175">
        <f t="shared" si="5"/>
        <v>101.37816723462458</v>
      </c>
      <c r="M42" s="294">
        <f t="shared" si="0"/>
        <v>89.563258409707643</v>
      </c>
    </row>
    <row r="43" spans="2:13" ht="12" hidden="1" customHeight="1">
      <c r="B43" s="103" t="s">
        <v>202</v>
      </c>
      <c r="C43" s="262" t="s">
        <v>202</v>
      </c>
      <c r="D43" s="290">
        <v>410500</v>
      </c>
      <c r="E43" s="293">
        <v>368141.66666666669</v>
      </c>
      <c r="F43" s="292">
        <f t="shared" si="1"/>
        <v>73628.333333333343</v>
      </c>
      <c r="G43" s="293">
        <v>1737</v>
      </c>
      <c r="H43" s="293">
        <f t="shared" si="2"/>
        <v>104220</v>
      </c>
      <c r="I43" s="293">
        <v>29260</v>
      </c>
      <c r="J43" s="233">
        <f t="shared" si="3"/>
        <v>609.58333333333337</v>
      </c>
      <c r="K43" s="233">
        <f t="shared" si="4"/>
        <v>73018.750000000015</v>
      </c>
      <c r="L43" s="175">
        <f t="shared" si="5"/>
        <v>101.55421498235428</v>
      </c>
      <c r="M43" s="294">
        <f t="shared" si="0"/>
        <v>89.726588500332809</v>
      </c>
    </row>
    <row r="44" spans="2:13" ht="12" hidden="1" customHeight="1">
      <c r="B44" s="103" t="s">
        <v>203</v>
      </c>
      <c r="C44" s="262" t="s">
        <v>203</v>
      </c>
      <c r="D44" s="290">
        <v>411600</v>
      </c>
      <c r="E44" s="293">
        <v>369008.33333333331</v>
      </c>
      <c r="F44" s="292">
        <f t="shared" si="1"/>
        <v>73801.666666666672</v>
      </c>
      <c r="G44" s="293">
        <v>1703</v>
      </c>
      <c r="H44" s="293">
        <f t="shared" si="2"/>
        <v>102180</v>
      </c>
      <c r="I44" s="293">
        <v>28180</v>
      </c>
      <c r="J44" s="233">
        <f t="shared" si="3"/>
        <v>587.08333333333337</v>
      </c>
      <c r="K44" s="233">
        <f t="shared" si="4"/>
        <v>73214.583333333343</v>
      </c>
      <c r="L44" s="175">
        <f t="shared" si="5"/>
        <v>101.70869920063903</v>
      </c>
      <c r="M44" s="294">
        <f t="shared" si="0"/>
        <v>89.967231580564231</v>
      </c>
    </row>
    <row r="45" spans="2:13" ht="12" hidden="1" customHeight="1">
      <c r="B45" s="103" t="s">
        <v>204</v>
      </c>
      <c r="C45" s="262" t="s">
        <v>204</v>
      </c>
      <c r="D45" s="290">
        <v>412300</v>
      </c>
      <c r="E45" s="293">
        <v>369958.33333333331</v>
      </c>
      <c r="F45" s="292">
        <f t="shared" si="1"/>
        <v>73991.666666666672</v>
      </c>
      <c r="G45" s="293">
        <v>1732</v>
      </c>
      <c r="H45" s="293">
        <f t="shared" si="2"/>
        <v>103920</v>
      </c>
      <c r="I45" s="293">
        <v>30580</v>
      </c>
      <c r="J45" s="233">
        <f t="shared" si="3"/>
        <v>637.08333333333337</v>
      </c>
      <c r="K45" s="233">
        <f t="shared" si="4"/>
        <v>73354.583333333343</v>
      </c>
      <c r="L45" s="175">
        <f t="shared" si="5"/>
        <v>102.01597014579423</v>
      </c>
      <c r="M45" s="294">
        <f t="shared" si="0"/>
        <v>90.139265782602024</v>
      </c>
    </row>
    <row r="46" spans="2:13" ht="12" hidden="1" customHeight="1">
      <c r="B46" s="103" t="s">
        <v>206</v>
      </c>
      <c r="C46" s="262" t="s">
        <v>206</v>
      </c>
      <c r="D46" s="290">
        <v>407300</v>
      </c>
      <c r="E46" s="293">
        <v>370779.16666666669</v>
      </c>
      <c r="F46" s="292">
        <f t="shared" si="1"/>
        <v>74155.833333333343</v>
      </c>
      <c r="G46" s="293">
        <v>1403</v>
      </c>
      <c r="H46" s="293">
        <f t="shared" si="2"/>
        <v>84180</v>
      </c>
      <c r="I46" s="293">
        <v>10600</v>
      </c>
      <c r="J46" s="233">
        <f t="shared" si="3"/>
        <v>220.83333333333334</v>
      </c>
      <c r="K46" s="233">
        <f t="shared" si="4"/>
        <v>73935.000000000015</v>
      </c>
      <c r="L46" s="175">
        <f t="shared" si="5"/>
        <v>102.72435711887368</v>
      </c>
      <c r="M46" s="294">
        <f t="shared" si="0"/>
        <v>90.852490911883692</v>
      </c>
    </row>
    <row r="47" spans="2:13" ht="12" hidden="1" customHeight="1">
      <c r="B47" s="103" t="s">
        <v>207</v>
      </c>
      <c r="C47" s="262" t="s">
        <v>207</v>
      </c>
      <c r="D47" s="290">
        <v>378100</v>
      </c>
      <c r="E47" s="293">
        <v>371002.08333333331</v>
      </c>
      <c r="F47" s="292">
        <f t="shared" si="1"/>
        <v>74200.416666666672</v>
      </c>
      <c r="G47" s="293">
        <v>761</v>
      </c>
      <c r="H47" s="293">
        <f t="shared" si="2"/>
        <v>45660</v>
      </c>
      <c r="I47" s="293">
        <v>-27820</v>
      </c>
      <c r="J47" s="233">
        <f t="shared" si="3"/>
        <v>-579.58333333333337</v>
      </c>
      <c r="K47" s="233">
        <f t="shared" si="4"/>
        <v>74780</v>
      </c>
      <c r="L47" s="175">
        <f t="shared" si="5"/>
        <v>103.77703249681969</v>
      </c>
      <c r="M47" s="294">
        <f t="shared" si="0"/>
        <v>91.890840202754589</v>
      </c>
    </row>
    <row r="48" spans="2:13" ht="12" hidden="1" customHeight="1">
      <c r="B48" s="103" t="s">
        <v>208</v>
      </c>
      <c r="C48" s="262" t="s">
        <v>208</v>
      </c>
      <c r="D48" s="290">
        <v>367900</v>
      </c>
      <c r="E48" s="293">
        <v>370987.5</v>
      </c>
      <c r="F48" s="292">
        <f t="shared" si="1"/>
        <v>74197.5</v>
      </c>
      <c r="G48" s="293">
        <v>682</v>
      </c>
      <c r="H48" s="293">
        <f t="shared" si="2"/>
        <v>40920</v>
      </c>
      <c r="I48" s="293">
        <v>-32800</v>
      </c>
      <c r="J48" s="233">
        <f t="shared" si="3"/>
        <v>-683.33333333333337</v>
      </c>
      <c r="K48" s="233">
        <f t="shared" si="4"/>
        <v>74880.833333333328</v>
      </c>
      <c r="L48" s="175">
        <f t="shared" si="5"/>
        <v>103.85511115734238</v>
      </c>
      <c r="M48" s="294">
        <f t="shared" si="0"/>
        <v>92.014745788746083</v>
      </c>
    </row>
    <row r="49" spans="2:13" ht="12" hidden="1" customHeight="1">
      <c r="B49" s="105" t="s">
        <v>209</v>
      </c>
      <c r="C49" s="263" t="s">
        <v>209</v>
      </c>
      <c r="D49" s="290">
        <v>359800</v>
      </c>
      <c r="E49" s="293">
        <v>370829.16666666669</v>
      </c>
      <c r="F49" s="292">
        <f t="shared" si="1"/>
        <v>74165.833333333343</v>
      </c>
      <c r="G49" s="293">
        <v>407</v>
      </c>
      <c r="H49" s="293">
        <f t="shared" si="2"/>
        <v>24420</v>
      </c>
      <c r="I49" s="293">
        <v>-49060</v>
      </c>
      <c r="J49" s="233">
        <f t="shared" si="3"/>
        <v>-1022.0833333333334</v>
      </c>
      <c r="K49" s="233">
        <f t="shared" si="4"/>
        <v>75187.916666666672</v>
      </c>
      <c r="L49" s="175">
        <f t="shared" si="5"/>
        <v>104.02552632185764</v>
      </c>
      <c r="M49" s="294">
        <f t="shared" si="0"/>
        <v>92.392094618811115</v>
      </c>
    </row>
    <row r="50" spans="2:13" ht="12" hidden="1" customHeight="1">
      <c r="B50" s="104" t="s">
        <v>210</v>
      </c>
      <c r="C50" s="264" t="s">
        <v>211</v>
      </c>
      <c r="D50" s="301">
        <v>354300</v>
      </c>
      <c r="E50" s="302">
        <v>370554.16666666669</v>
      </c>
      <c r="F50" s="303">
        <f t="shared" si="1"/>
        <v>74110.833333333343</v>
      </c>
      <c r="G50" s="302">
        <v>454</v>
      </c>
      <c r="H50" s="302">
        <f t="shared" si="2"/>
        <v>27240</v>
      </c>
      <c r="I50" s="302">
        <v>-46260</v>
      </c>
      <c r="J50" s="239">
        <f t="shared" si="3"/>
        <v>-963.75</v>
      </c>
      <c r="K50" s="239">
        <f t="shared" si="4"/>
        <v>75074.583333333343</v>
      </c>
      <c r="L50" s="178">
        <f t="shared" si="5"/>
        <v>103.9016682716982</v>
      </c>
      <c r="M50" s="304">
        <f t="shared" si="0"/>
        <v>92.252828836209105</v>
      </c>
    </row>
    <row r="51" spans="2:13" ht="12" hidden="1" customHeight="1">
      <c r="B51" s="103" t="s">
        <v>198</v>
      </c>
      <c r="C51" s="262" t="s">
        <v>198</v>
      </c>
      <c r="D51" s="290">
        <v>352900</v>
      </c>
      <c r="E51" s="293">
        <v>370185.41666666669</v>
      </c>
      <c r="F51" s="292">
        <f t="shared" si="1"/>
        <v>74037.083333333343</v>
      </c>
      <c r="G51" s="293">
        <v>638</v>
      </c>
      <c r="H51" s="293">
        <f t="shared" si="2"/>
        <v>38280</v>
      </c>
      <c r="I51" s="293">
        <v>-35840</v>
      </c>
      <c r="J51" s="233">
        <f t="shared" si="3"/>
        <v>-746.66666666666663</v>
      </c>
      <c r="K51" s="233">
        <f t="shared" si="4"/>
        <v>74783.750000000015</v>
      </c>
      <c r="L51" s="175">
        <f t="shared" si="5"/>
        <v>103.24850144390629</v>
      </c>
      <c r="M51" s="294">
        <f t="shared" si="0"/>
        <v>91.895448261737769</v>
      </c>
    </row>
    <row r="52" spans="2:13" ht="12" hidden="1" customHeight="1">
      <c r="B52" s="103" t="s">
        <v>199</v>
      </c>
      <c r="C52" s="262" t="s">
        <v>199</v>
      </c>
      <c r="D52" s="290">
        <v>358900</v>
      </c>
      <c r="E52" s="293">
        <v>369958.33333333331</v>
      </c>
      <c r="F52" s="292">
        <f t="shared" si="1"/>
        <v>73991.666666666672</v>
      </c>
      <c r="G52" s="293">
        <v>637</v>
      </c>
      <c r="H52" s="293">
        <f t="shared" si="2"/>
        <v>38220</v>
      </c>
      <c r="I52" s="293">
        <v>-35740</v>
      </c>
      <c r="J52" s="233">
        <f t="shared" si="3"/>
        <v>-744.58333333333337</v>
      </c>
      <c r="K52" s="233">
        <f t="shared" si="4"/>
        <v>74736.25</v>
      </c>
      <c r="L52" s="175">
        <f t="shared" si="5"/>
        <v>102.9755890322877</v>
      </c>
      <c r="M52" s="294">
        <f t="shared" si="0"/>
        <v>91.837079514617784</v>
      </c>
    </row>
    <row r="53" spans="2:13" ht="12" hidden="1" customHeight="1">
      <c r="B53" s="103" t="s">
        <v>200</v>
      </c>
      <c r="C53" s="262" t="s">
        <v>200</v>
      </c>
      <c r="D53" s="290">
        <v>370200</v>
      </c>
      <c r="E53" s="293">
        <v>369908.33333333331</v>
      </c>
      <c r="F53" s="292">
        <f t="shared" si="1"/>
        <v>73981.666666666672</v>
      </c>
      <c r="G53" s="293">
        <v>639</v>
      </c>
      <c r="H53" s="293">
        <f t="shared" si="2"/>
        <v>38340</v>
      </c>
      <c r="I53" s="293">
        <v>-36180</v>
      </c>
      <c r="J53" s="233">
        <f t="shared" si="3"/>
        <v>-753.75</v>
      </c>
      <c r="K53" s="233">
        <f t="shared" si="4"/>
        <v>74735.416666666672</v>
      </c>
      <c r="L53" s="175">
        <f t="shared" si="5"/>
        <v>102.70615383734447</v>
      </c>
      <c r="M53" s="294">
        <f t="shared" si="0"/>
        <v>91.836055501510415</v>
      </c>
    </row>
    <row r="54" spans="2:13" ht="12" hidden="1" customHeight="1">
      <c r="B54" s="103" t="s">
        <v>201</v>
      </c>
      <c r="C54" s="262" t="s">
        <v>201</v>
      </c>
      <c r="D54" s="290">
        <v>394100</v>
      </c>
      <c r="E54" s="293">
        <v>370412.5</v>
      </c>
      <c r="F54" s="292">
        <f t="shared" si="1"/>
        <v>74082.5</v>
      </c>
      <c r="G54" s="293">
        <v>646</v>
      </c>
      <c r="H54" s="293">
        <f t="shared" si="2"/>
        <v>38760</v>
      </c>
      <c r="I54" s="293">
        <v>-35220</v>
      </c>
      <c r="J54" s="233">
        <f t="shared" si="3"/>
        <v>-733.75</v>
      </c>
      <c r="K54" s="233">
        <f t="shared" si="4"/>
        <v>74816.25</v>
      </c>
      <c r="L54" s="175">
        <f t="shared" si="5"/>
        <v>102.64854852909228</v>
      </c>
      <c r="M54" s="294">
        <f t="shared" si="0"/>
        <v>91.93538477292509</v>
      </c>
    </row>
    <row r="55" spans="2:13" ht="12" hidden="1" customHeight="1">
      <c r="B55" s="103" t="s">
        <v>202</v>
      </c>
      <c r="C55" s="262" t="s">
        <v>202</v>
      </c>
      <c r="D55" s="290">
        <v>379200</v>
      </c>
      <c r="E55" s="293">
        <v>370735.41666666669</v>
      </c>
      <c r="F55" s="292">
        <f t="shared" si="1"/>
        <v>74147.083333333343</v>
      </c>
      <c r="G55" s="293">
        <v>659</v>
      </c>
      <c r="H55" s="293">
        <f t="shared" si="2"/>
        <v>39540</v>
      </c>
      <c r="I55" s="293">
        <v>-33200</v>
      </c>
      <c r="J55" s="233">
        <f t="shared" si="3"/>
        <v>-691.66666666666663</v>
      </c>
      <c r="K55" s="233">
        <f t="shared" si="4"/>
        <v>74838.750000000015</v>
      </c>
      <c r="L55" s="175">
        <f t="shared" si="5"/>
        <v>102.49251048532055</v>
      </c>
      <c r="M55" s="294">
        <f t="shared" si="0"/>
        <v>91.96303312682403</v>
      </c>
    </row>
    <row r="56" spans="2:13" ht="12" hidden="1" customHeight="1">
      <c r="B56" s="103" t="s">
        <v>203</v>
      </c>
      <c r="C56" s="262" t="s">
        <v>203</v>
      </c>
      <c r="D56" s="290">
        <v>379100</v>
      </c>
      <c r="E56" s="293">
        <v>371218.75</v>
      </c>
      <c r="F56" s="292">
        <f t="shared" si="1"/>
        <v>74243.75</v>
      </c>
      <c r="G56" s="293">
        <v>676</v>
      </c>
      <c r="H56" s="293">
        <f t="shared" si="2"/>
        <v>40560</v>
      </c>
      <c r="I56" s="293">
        <v>-30620</v>
      </c>
      <c r="J56" s="233">
        <f t="shared" si="3"/>
        <v>-637.91666666666663</v>
      </c>
      <c r="K56" s="233">
        <f t="shared" si="4"/>
        <v>74881.666666666672</v>
      </c>
      <c r="L56" s="175">
        <f t="shared" si="5"/>
        <v>102.2769826138918</v>
      </c>
      <c r="M56" s="294">
        <f t="shared" si="0"/>
        <v>92.015769801853466</v>
      </c>
    </row>
    <row r="57" spans="2:13" ht="12" hidden="1" customHeight="1">
      <c r="B57" s="103" t="s">
        <v>204</v>
      </c>
      <c r="C57" s="262" t="s">
        <v>204</v>
      </c>
      <c r="D57" s="290">
        <v>386400</v>
      </c>
      <c r="E57" s="293">
        <v>371870.83333333331</v>
      </c>
      <c r="F57" s="292">
        <f t="shared" si="1"/>
        <v>74374.166666666672</v>
      </c>
      <c r="G57" s="293">
        <v>729</v>
      </c>
      <c r="H57" s="293">
        <f t="shared" si="2"/>
        <v>43740</v>
      </c>
      <c r="I57" s="293">
        <v>-27280</v>
      </c>
      <c r="J57" s="233">
        <f t="shared" si="3"/>
        <v>-568.33333333333337</v>
      </c>
      <c r="K57" s="233">
        <f t="shared" si="4"/>
        <v>74942.5</v>
      </c>
      <c r="L57" s="175">
        <f t="shared" si="5"/>
        <v>102.16471363411736</v>
      </c>
      <c r="M57" s="294">
        <f t="shared" si="0"/>
        <v>92.090522758691307</v>
      </c>
    </row>
    <row r="58" spans="2:13" ht="12" hidden="1" customHeight="1">
      <c r="B58" s="103" t="s">
        <v>206</v>
      </c>
      <c r="C58" s="262" t="s">
        <v>206</v>
      </c>
      <c r="D58" s="290">
        <v>389700</v>
      </c>
      <c r="E58" s="293">
        <v>372558.33333333331</v>
      </c>
      <c r="F58" s="292">
        <f t="shared" si="1"/>
        <v>74511.666666666672</v>
      </c>
      <c r="G58" s="293">
        <v>756</v>
      </c>
      <c r="H58" s="293">
        <f t="shared" si="2"/>
        <v>45360</v>
      </c>
      <c r="I58" s="293">
        <v>-25980</v>
      </c>
      <c r="J58" s="233">
        <f t="shared" si="3"/>
        <v>-541.25</v>
      </c>
      <c r="K58" s="233">
        <f t="shared" si="4"/>
        <v>75052.916666666672</v>
      </c>
      <c r="L58" s="175">
        <f t="shared" si="5"/>
        <v>101.5120263294335</v>
      </c>
      <c r="M58" s="294">
        <f t="shared" si="0"/>
        <v>92.226204495417534</v>
      </c>
    </row>
    <row r="59" spans="2:13" ht="12" hidden="1" customHeight="1">
      <c r="B59" s="103" t="s">
        <v>207</v>
      </c>
      <c r="C59" s="262" t="s">
        <v>207</v>
      </c>
      <c r="D59" s="290">
        <v>395000</v>
      </c>
      <c r="E59" s="293">
        <v>373325</v>
      </c>
      <c r="F59" s="292">
        <f t="shared" si="1"/>
        <v>74665</v>
      </c>
      <c r="G59" s="293">
        <v>854</v>
      </c>
      <c r="H59" s="293">
        <f t="shared" si="2"/>
        <v>51240</v>
      </c>
      <c r="I59" s="293">
        <v>-20400</v>
      </c>
      <c r="J59" s="233">
        <f t="shared" si="3"/>
        <v>-425</v>
      </c>
      <c r="K59" s="233">
        <f t="shared" si="4"/>
        <v>75090</v>
      </c>
      <c r="L59" s="175">
        <f t="shared" si="5"/>
        <v>100.41454934474459</v>
      </c>
      <c r="M59" s="294">
        <f t="shared" si="0"/>
        <v>92.271773078695404</v>
      </c>
    </row>
    <row r="60" spans="2:13" ht="12" hidden="1" customHeight="1">
      <c r="B60" s="103" t="s">
        <v>208</v>
      </c>
      <c r="C60" s="262" t="s">
        <v>208</v>
      </c>
      <c r="D60" s="290">
        <v>401300</v>
      </c>
      <c r="E60" s="293">
        <v>374295.83333333331</v>
      </c>
      <c r="F60" s="292">
        <f t="shared" si="1"/>
        <v>74859.166666666672</v>
      </c>
      <c r="G60" s="293">
        <v>1031</v>
      </c>
      <c r="H60" s="293">
        <f t="shared" si="2"/>
        <v>61860</v>
      </c>
      <c r="I60" s="293">
        <v>-9080</v>
      </c>
      <c r="J60" s="233">
        <f t="shared" si="3"/>
        <v>-189.16666666666666</v>
      </c>
      <c r="K60" s="233">
        <f t="shared" si="4"/>
        <v>75048.333333333343</v>
      </c>
      <c r="L60" s="175">
        <f t="shared" si="5"/>
        <v>100.22368874990264</v>
      </c>
      <c r="M60" s="294">
        <f t="shared" si="0"/>
        <v>92.220572423327027</v>
      </c>
    </row>
    <row r="61" spans="2:13" ht="12" hidden="1" customHeight="1">
      <c r="B61" s="105" t="s">
        <v>209</v>
      </c>
      <c r="C61" s="263" t="s">
        <v>209</v>
      </c>
      <c r="D61" s="305">
        <v>399200</v>
      </c>
      <c r="E61" s="306">
        <v>375275</v>
      </c>
      <c r="F61" s="307">
        <f t="shared" si="1"/>
        <v>75055</v>
      </c>
      <c r="G61" s="306">
        <v>982</v>
      </c>
      <c r="H61" s="306">
        <f t="shared" si="2"/>
        <v>58920</v>
      </c>
      <c r="I61" s="306">
        <v>-11520</v>
      </c>
      <c r="J61" s="235">
        <f t="shared" si="3"/>
        <v>-240</v>
      </c>
      <c r="K61" s="235">
        <f t="shared" si="4"/>
        <v>75295</v>
      </c>
      <c r="L61" s="182">
        <f t="shared" si="5"/>
        <v>100.14242093421481</v>
      </c>
      <c r="M61" s="308">
        <f t="shared" si="0"/>
        <v>92.523680303107867</v>
      </c>
    </row>
    <row r="62" spans="2:13" ht="12" hidden="1" customHeight="1">
      <c r="B62" s="104" t="s">
        <v>212</v>
      </c>
      <c r="C62" s="264" t="s">
        <v>213</v>
      </c>
      <c r="D62" s="290">
        <v>404800</v>
      </c>
      <c r="E62" s="291">
        <f>AVERAGE(D15:D62)</f>
        <v>376287.5</v>
      </c>
      <c r="F62" s="292">
        <f t="shared" si="1"/>
        <v>75257.5</v>
      </c>
      <c r="G62" s="293">
        <v>1073</v>
      </c>
      <c r="H62" s="293">
        <f t="shared" si="2"/>
        <v>64380</v>
      </c>
      <c r="I62" s="233">
        <f>H62-D14*0.2</f>
        <v>-6860</v>
      </c>
      <c r="J62" s="233">
        <f t="shared" si="3"/>
        <v>-142.91666666666666</v>
      </c>
      <c r="K62" s="233">
        <f t="shared" si="4"/>
        <v>75400.416666666672</v>
      </c>
      <c r="L62" s="175">
        <f t="shared" si="5"/>
        <v>100.4340128427841</v>
      </c>
      <c r="M62" s="294">
        <f t="shared" si="0"/>
        <v>92.65321796118991</v>
      </c>
    </row>
    <row r="63" spans="2:13" ht="12" hidden="1" customHeight="1">
      <c r="B63" s="103" t="s">
        <v>198</v>
      </c>
      <c r="C63" s="262" t="s">
        <v>198</v>
      </c>
      <c r="D63" s="290">
        <v>410800</v>
      </c>
      <c r="E63" s="291">
        <f t="shared" ref="E63:E126" si="6">AVERAGE(D16:D63)</f>
        <v>377360.41666666669</v>
      </c>
      <c r="F63" s="292">
        <f t="shared" si="1"/>
        <v>75472.083333333343</v>
      </c>
      <c r="G63" s="293">
        <v>1152</v>
      </c>
      <c r="H63" s="293">
        <f t="shared" si="2"/>
        <v>69120</v>
      </c>
      <c r="I63" s="233">
        <f t="shared" ref="I63:I126" si="7">H63-D15*0.2</f>
        <v>-2740</v>
      </c>
      <c r="J63" s="233">
        <f t="shared" si="3"/>
        <v>-57.083333333333336</v>
      </c>
      <c r="K63" s="233">
        <f t="shared" si="4"/>
        <v>75529.166666666672</v>
      </c>
      <c r="L63" s="175">
        <f t="shared" si="5"/>
        <v>100.99676288855086</v>
      </c>
      <c r="M63" s="294">
        <f t="shared" si="0"/>
        <v>92.811427986278233</v>
      </c>
    </row>
    <row r="64" spans="2:13" ht="12" hidden="1" customHeight="1">
      <c r="B64" s="103" t="s">
        <v>242</v>
      </c>
      <c r="C64" s="262" t="s">
        <v>199</v>
      </c>
      <c r="D64" s="290">
        <v>426900</v>
      </c>
      <c r="E64" s="291">
        <f t="shared" si="6"/>
        <v>378695.83333333331</v>
      </c>
      <c r="F64" s="292">
        <f t="shared" si="1"/>
        <v>75739.166666666672</v>
      </c>
      <c r="G64" s="293">
        <v>1153</v>
      </c>
      <c r="H64" s="293">
        <f t="shared" si="2"/>
        <v>69180</v>
      </c>
      <c r="I64" s="233">
        <f t="shared" si="7"/>
        <v>-3380</v>
      </c>
      <c r="J64" s="233">
        <f t="shared" si="3"/>
        <v>-70.416666666666671</v>
      </c>
      <c r="K64" s="233">
        <f t="shared" si="4"/>
        <v>75809.583333333343</v>
      </c>
      <c r="L64" s="175">
        <f t="shared" si="5"/>
        <v>101.43616161278275</v>
      </c>
      <c r="M64" s="294">
        <f t="shared" si="0"/>
        <v>93.156008396907481</v>
      </c>
    </row>
    <row r="65" spans="2:13" ht="12" hidden="1" customHeight="1">
      <c r="B65" s="103" t="s">
        <v>250</v>
      </c>
      <c r="C65" s="262" t="s">
        <v>200</v>
      </c>
      <c r="D65" s="290">
        <v>424000</v>
      </c>
      <c r="E65" s="291">
        <f t="shared" si="6"/>
        <v>379981.25</v>
      </c>
      <c r="F65" s="292">
        <f t="shared" si="1"/>
        <v>75996.25</v>
      </c>
      <c r="G65" s="293">
        <v>1218</v>
      </c>
      <c r="H65" s="293">
        <f t="shared" si="2"/>
        <v>73080</v>
      </c>
      <c r="I65" s="233">
        <f t="shared" si="7"/>
        <v>620</v>
      </c>
      <c r="J65" s="233">
        <f t="shared" si="3"/>
        <v>12.916666666666666</v>
      </c>
      <c r="K65" s="233">
        <f t="shared" si="4"/>
        <v>75983.333333333328</v>
      </c>
      <c r="L65" s="175">
        <f t="shared" si="5"/>
        <v>101.66977949990242</v>
      </c>
      <c r="M65" s="294">
        <f t="shared" si="0"/>
        <v>93.369515129793641</v>
      </c>
    </row>
    <row r="66" spans="2:13" ht="12" hidden="1" customHeight="1">
      <c r="B66" s="103" t="s">
        <v>201</v>
      </c>
      <c r="C66" s="262" t="s">
        <v>201</v>
      </c>
      <c r="D66" s="290">
        <v>424200</v>
      </c>
      <c r="E66" s="291">
        <f t="shared" si="6"/>
        <v>381375</v>
      </c>
      <c r="F66" s="292">
        <f t="shared" si="1"/>
        <v>76275</v>
      </c>
      <c r="G66" s="293">
        <v>1194</v>
      </c>
      <c r="H66" s="293">
        <f t="shared" si="2"/>
        <v>71640</v>
      </c>
      <c r="I66" s="233">
        <f t="shared" si="7"/>
        <v>180</v>
      </c>
      <c r="J66" s="233">
        <f t="shared" si="3"/>
        <v>3.75</v>
      </c>
      <c r="K66" s="233">
        <f t="shared" si="4"/>
        <v>76271.25</v>
      </c>
      <c r="L66" s="175">
        <f t="shared" si="5"/>
        <v>101.94476467344995</v>
      </c>
      <c r="M66" s="294">
        <f t="shared" si="0"/>
        <v>93.723311658389221</v>
      </c>
    </row>
    <row r="67" spans="2:13" ht="12" hidden="1" customHeight="1">
      <c r="B67" s="103" t="s">
        <v>202</v>
      </c>
      <c r="C67" s="262" t="s">
        <v>202</v>
      </c>
      <c r="D67" s="290">
        <v>417100</v>
      </c>
      <c r="E67" s="291">
        <f t="shared" si="6"/>
        <v>382689.58333333331</v>
      </c>
      <c r="F67" s="292">
        <f t="shared" si="1"/>
        <v>76537.916666666672</v>
      </c>
      <c r="G67" s="293">
        <v>1279</v>
      </c>
      <c r="H67" s="293">
        <f t="shared" si="2"/>
        <v>76740</v>
      </c>
      <c r="I67" s="233">
        <f t="shared" si="7"/>
        <v>5940</v>
      </c>
      <c r="J67" s="233">
        <f t="shared" si="3"/>
        <v>123.75</v>
      </c>
      <c r="K67" s="233">
        <f t="shared" si="4"/>
        <v>76414.166666666672</v>
      </c>
      <c r="L67" s="175">
        <f t="shared" si="5"/>
        <v>102.10508148073913</v>
      </c>
      <c r="M67" s="294">
        <f t="shared" si="0"/>
        <v>93.898929906302797</v>
      </c>
    </row>
    <row r="68" spans="2:13" ht="12" hidden="1" customHeight="1">
      <c r="B68" s="103" t="s">
        <v>203</v>
      </c>
      <c r="C68" s="262" t="s">
        <v>203</v>
      </c>
      <c r="D68" s="290">
        <v>417200</v>
      </c>
      <c r="E68" s="291">
        <f t="shared" si="6"/>
        <v>384085.41666666669</v>
      </c>
      <c r="F68" s="292">
        <f t="shared" si="1"/>
        <v>76817.083333333343</v>
      </c>
      <c r="G68" s="293">
        <v>1294</v>
      </c>
      <c r="H68" s="293">
        <f t="shared" si="2"/>
        <v>77640</v>
      </c>
      <c r="I68" s="233">
        <f t="shared" si="7"/>
        <v>7600</v>
      </c>
      <c r="J68" s="233">
        <f t="shared" si="3"/>
        <v>158.33333333333334</v>
      </c>
      <c r="K68" s="233">
        <f t="shared" si="4"/>
        <v>76658.750000000015</v>
      </c>
      <c r="L68" s="175">
        <f t="shared" si="5"/>
        <v>102.37318880900979</v>
      </c>
      <c r="M68" s="294">
        <f t="shared" si="0"/>
        <v>94.19947775331525</v>
      </c>
    </row>
    <row r="69" spans="2:13" ht="12" hidden="1" customHeight="1">
      <c r="B69" s="103" t="s">
        <v>204</v>
      </c>
      <c r="C69" s="262" t="s">
        <v>204</v>
      </c>
      <c r="D69" s="290">
        <v>422200</v>
      </c>
      <c r="E69" s="291">
        <f t="shared" si="6"/>
        <v>385637.5</v>
      </c>
      <c r="F69" s="292">
        <f t="shared" si="1"/>
        <v>77127.5</v>
      </c>
      <c r="G69" s="293">
        <v>1252</v>
      </c>
      <c r="H69" s="293">
        <f t="shared" si="2"/>
        <v>75120</v>
      </c>
      <c r="I69" s="233">
        <f t="shared" si="7"/>
        <v>5580</v>
      </c>
      <c r="J69" s="233">
        <f t="shared" si="3"/>
        <v>116.25</v>
      </c>
      <c r="K69" s="233">
        <f t="shared" si="4"/>
        <v>77011.25</v>
      </c>
      <c r="L69" s="175">
        <f t="shared" si="5"/>
        <v>102.76044967808653</v>
      </c>
      <c r="M69" s="294">
        <f t="shared" si="0"/>
        <v>94.632635297731809</v>
      </c>
    </row>
    <row r="70" spans="2:13" ht="12" hidden="1" customHeight="1">
      <c r="B70" s="103" t="s">
        <v>206</v>
      </c>
      <c r="C70" s="262" t="s">
        <v>206</v>
      </c>
      <c r="D70" s="290">
        <v>421000</v>
      </c>
      <c r="E70" s="291">
        <f t="shared" si="6"/>
        <v>387162.5</v>
      </c>
      <c r="F70" s="292">
        <f t="shared" si="1"/>
        <v>77432.5</v>
      </c>
      <c r="G70" s="293">
        <v>1200</v>
      </c>
      <c r="H70" s="293">
        <f t="shared" si="2"/>
        <v>72000</v>
      </c>
      <c r="I70" s="233">
        <f t="shared" si="7"/>
        <v>2440</v>
      </c>
      <c r="J70" s="233">
        <f t="shared" si="3"/>
        <v>50.833333333333336</v>
      </c>
      <c r="K70" s="233">
        <f t="shared" si="4"/>
        <v>77381.666666666672</v>
      </c>
      <c r="L70" s="175">
        <f t="shared" si="5"/>
        <v>103.10281079460604</v>
      </c>
      <c r="M70" s="294">
        <f t="shared" si="0"/>
        <v>95.087809123956788</v>
      </c>
    </row>
    <row r="71" spans="2:13" ht="12" hidden="1" customHeight="1">
      <c r="B71" s="103" t="s">
        <v>247</v>
      </c>
      <c r="C71" s="262" t="s">
        <v>207</v>
      </c>
      <c r="D71" s="290">
        <v>423100</v>
      </c>
      <c r="E71" s="291">
        <f t="shared" si="6"/>
        <v>388704.16666666669</v>
      </c>
      <c r="F71" s="292">
        <f t="shared" si="1"/>
        <v>77740.833333333343</v>
      </c>
      <c r="G71" s="293">
        <v>1159</v>
      </c>
      <c r="H71" s="293">
        <f t="shared" si="2"/>
        <v>69540</v>
      </c>
      <c r="I71" s="233">
        <f t="shared" si="7"/>
        <v>-280</v>
      </c>
      <c r="J71" s="233">
        <f t="shared" si="3"/>
        <v>-5.833333333333333</v>
      </c>
      <c r="K71" s="233">
        <f t="shared" si="4"/>
        <v>77746.666666666672</v>
      </c>
      <c r="L71" s="175">
        <f t="shared" si="5"/>
        <v>103.53797665024193</v>
      </c>
      <c r="M71" s="294">
        <f t="shared" si="0"/>
        <v>95.536326864983863</v>
      </c>
    </row>
    <row r="72" spans="2:13" ht="12" hidden="1" customHeight="1">
      <c r="B72" s="103" t="s">
        <v>208</v>
      </c>
      <c r="C72" s="262" t="s">
        <v>208</v>
      </c>
      <c r="D72" s="290">
        <v>423800</v>
      </c>
      <c r="E72" s="291">
        <f t="shared" si="6"/>
        <v>390293.75</v>
      </c>
      <c r="F72" s="292">
        <f t="shared" si="1"/>
        <v>78058.75</v>
      </c>
      <c r="G72" s="293">
        <v>1140</v>
      </c>
      <c r="H72" s="293">
        <f t="shared" si="2"/>
        <v>68400</v>
      </c>
      <c r="I72" s="233">
        <f t="shared" si="7"/>
        <v>-1100</v>
      </c>
      <c r="J72" s="233">
        <f t="shared" si="3"/>
        <v>-22.916666666666668</v>
      </c>
      <c r="K72" s="233">
        <f t="shared" si="4"/>
        <v>78081.666666666672</v>
      </c>
      <c r="L72" s="175">
        <f t="shared" si="5"/>
        <v>104.04183970330232</v>
      </c>
      <c r="M72" s="294">
        <f t="shared" si="0"/>
        <v>95.947980134145723</v>
      </c>
    </row>
    <row r="73" spans="2:13" ht="12" hidden="1" customHeight="1">
      <c r="B73" s="105" t="s">
        <v>209</v>
      </c>
      <c r="C73" s="263" t="s">
        <v>209</v>
      </c>
      <c r="D73" s="290">
        <v>425300</v>
      </c>
      <c r="E73" s="291">
        <f t="shared" si="6"/>
        <v>391856.25</v>
      </c>
      <c r="F73" s="292">
        <f t="shared" si="1"/>
        <v>78371.25</v>
      </c>
      <c r="G73" s="293">
        <v>1168</v>
      </c>
      <c r="H73" s="293">
        <f t="shared" si="2"/>
        <v>70080</v>
      </c>
      <c r="I73" s="233">
        <f t="shared" si="7"/>
        <v>20</v>
      </c>
      <c r="J73" s="233">
        <f t="shared" si="3"/>
        <v>0.41666666666666669</v>
      </c>
      <c r="K73" s="233">
        <f t="shared" si="4"/>
        <v>78370.833333333328</v>
      </c>
      <c r="L73" s="175">
        <f t="shared" si="5"/>
        <v>104.08504327423245</v>
      </c>
      <c r="M73" s="294">
        <f t="shared" si="0"/>
        <v>96.303312682402321</v>
      </c>
    </row>
    <row r="74" spans="2:13" ht="12" hidden="1" customHeight="1">
      <c r="B74" s="104" t="s">
        <v>214</v>
      </c>
      <c r="C74" s="264" t="s">
        <v>215</v>
      </c>
      <c r="D74" s="301">
        <v>442300</v>
      </c>
      <c r="E74" s="309">
        <f t="shared" si="6"/>
        <v>393758.33333333331</v>
      </c>
      <c r="F74" s="303">
        <f t="shared" si="1"/>
        <v>78751.666666666672</v>
      </c>
      <c r="G74" s="302">
        <v>1569</v>
      </c>
      <c r="H74" s="302">
        <f t="shared" si="2"/>
        <v>94140</v>
      </c>
      <c r="I74" s="239">
        <f t="shared" si="7"/>
        <v>23940</v>
      </c>
      <c r="J74" s="239">
        <f t="shared" si="3"/>
        <v>498.75</v>
      </c>
      <c r="K74" s="239">
        <f t="shared" si="4"/>
        <v>78252.916666666672</v>
      </c>
      <c r="L74" s="178">
        <f t="shared" si="5"/>
        <v>103.78313559275203</v>
      </c>
      <c r="M74" s="304">
        <f t="shared" si="0"/>
        <v>96.158414827709791</v>
      </c>
    </row>
    <row r="75" spans="2:13" ht="12" hidden="1" customHeight="1">
      <c r="B75" s="103" t="s">
        <v>198</v>
      </c>
      <c r="C75" s="262" t="s">
        <v>198</v>
      </c>
      <c r="D75" s="290">
        <v>446400</v>
      </c>
      <c r="E75" s="291">
        <f t="shared" si="6"/>
        <v>395516.66666666669</v>
      </c>
      <c r="F75" s="292">
        <f t="shared" si="1"/>
        <v>79103.333333333343</v>
      </c>
      <c r="G75" s="293">
        <v>1739</v>
      </c>
      <c r="H75" s="293">
        <f t="shared" si="2"/>
        <v>104340</v>
      </c>
      <c r="I75" s="233">
        <f t="shared" si="7"/>
        <v>31940</v>
      </c>
      <c r="J75" s="233">
        <f t="shared" si="3"/>
        <v>665.41666666666663</v>
      </c>
      <c r="K75" s="233">
        <f t="shared" si="4"/>
        <v>78437.916666666672</v>
      </c>
      <c r="L75" s="175">
        <f t="shared" si="5"/>
        <v>103.85116125117229</v>
      </c>
      <c r="M75" s="294">
        <f t="shared" si="0"/>
        <v>96.385745737545435</v>
      </c>
    </row>
    <row r="76" spans="2:13" ht="12" hidden="1" customHeight="1">
      <c r="B76" s="103" t="s">
        <v>199</v>
      </c>
      <c r="C76" s="262" t="s">
        <v>199</v>
      </c>
      <c r="D76" s="290">
        <v>436600</v>
      </c>
      <c r="E76" s="291">
        <f t="shared" si="6"/>
        <v>396931.25</v>
      </c>
      <c r="F76" s="292">
        <f t="shared" si="1"/>
        <v>79386.25</v>
      </c>
      <c r="G76" s="293">
        <v>1804</v>
      </c>
      <c r="H76" s="293">
        <f t="shared" si="2"/>
        <v>108240</v>
      </c>
      <c r="I76" s="233">
        <f t="shared" si="7"/>
        <v>34500</v>
      </c>
      <c r="J76" s="233">
        <f t="shared" si="3"/>
        <v>718.75</v>
      </c>
      <c r="K76" s="233">
        <f t="shared" si="4"/>
        <v>78667.5</v>
      </c>
      <c r="L76" s="175">
        <f t="shared" si="5"/>
        <v>103.76986198974403</v>
      </c>
      <c r="M76" s="294">
        <f t="shared" si="0"/>
        <v>96.667861348625266</v>
      </c>
    </row>
    <row r="77" spans="2:13" ht="12" hidden="1" customHeight="1">
      <c r="B77" s="103" t="s">
        <v>200</v>
      </c>
      <c r="C77" s="262" t="s">
        <v>200</v>
      </c>
      <c r="D77" s="290">
        <v>450500</v>
      </c>
      <c r="E77" s="291">
        <f t="shared" si="6"/>
        <v>398631.25</v>
      </c>
      <c r="F77" s="292">
        <f t="shared" si="1"/>
        <v>79726.25</v>
      </c>
      <c r="G77" s="293">
        <v>1906</v>
      </c>
      <c r="H77" s="293">
        <f t="shared" si="2"/>
        <v>114360</v>
      </c>
      <c r="I77" s="233">
        <f t="shared" si="7"/>
        <v>40580</v>
      </c>
      <c r="J77" s="233">
        <f t="shared" si="3"/>
        <v>845.41666666666663</v>
      </c>
      <c r="K77" s="233">
        <f t="shared" si="4"/>
        <v>78880.833333333328</v>
      </c>
      <c r="L77" s="175">
        <f t="shared" si="5"/>
        <v>103.81333625795131</v>
      </c>
      <c r="M77" s="294">
        <f t="shared" si="0"/>
        <v>96.930008704111401</v>
      </c>
    </row>
    <row r="78" spans="2:13" ht="12" hidden="1" customHeight="1">
      <c r="B78" s="103" t="s">
        <v>201</v>
      </c>
      <c r="C78" s="262" t="s">
        <v>201</v>
      </c>
      <c r="D78" s="290">
        <v>451100</v>
      </c>
      <c r="E78" s="291">
        <f t="shared" si="6"/>
        <v>400225</v>
      </c>
      <c r="F78" s="292">
        <f t="shared" si="1"/>
        <v>80045</v>
      </c>
      <c r="G78" s="293">
        <v>1988</v>
      </c>
      <c r="H78" s="293">
        <f t="shared" si="2"/>
        <v>119280</v>
      </c>
      <c r="I78" s="233">
        <f t="shared" si="7"/>
        <v>44360</v>
      </c>
      <c r="J78" s="233">
        <f t="shared" si="3"/>
        <v>924.16666666666663</v>
      </c>
      <c r="K78" s="233">
        <f t="shared" si="4"/>
        <v>79120.833333333328</v>
      </c>
      <c r="L78" s="175">
        <f t="shared" si="5"/>
        <v>103.73611725693932</v>
      </c>
      <c r="M78" s="294">
        <f t="shared" ref="M78:M84" si="8">K78/$K$85*100</f>
        <v>97.224924479033319</v>
      </c>
    </row>
    <row r="79" spans="2:13" ht="12" hidden="1" customHeight="1">
      <c r="B79" s="103" t="s">
        <v>202</v>
      </c>
      <c r="C79" s="262" t="s">
        <v>202</v>
      </c>
      <c r="D79" s="290">
        <v>446700</v>
      </c>
      <c r="E79" s="291">
        <f t="shared" si="6"/>
        <v>401720.83333333331</v>
      </c>
      <c r="F79" s="292">
        <f t="shared" ref="F79:F142" si="9">E79*0.2</f>
        <v>80344.166666666672</v>
      </c>
      <c r="G79" s="293">
        <v>2152</v>
      </c>
      <c r="H79" s="293">
        <f t="shared" ref="H79:H142" si="10">G79*60</f>
        <v>129120</v>
      </c>
      <c r="I79" s="233">
        <f t="shared" si="7"/>
        <v>54140</v>
      </c>
      <c r="J79" s="233">
        <f t="shared" ref="J79:J116" si="11">I79/48</f>
        <v>1127.9166666666667</v>
      </c>
      <c r="K79" s="233">
        <f t="shared" ref="K79:K142" si="12">F79-J79</f>
        <v>79216.25</v>
      </c>
      <c r="L79" s="175">
        <f t="shared" si="5"/>
        <v>103.66696838500712</v>
      </c>
      <c r="M79" s="294">
        <f t="shared" si="8"/>
        <v>97.342173979826939</v>
      </c>
    </row>
    <row r="80" spans="2:13" ht="12" hidden="1" customHeight="1">
      <c r="B80" s="103" t="s">
        <v>203</v>
      </c>
      <c r="C80" s="262" t="s">
        <v>237</v>
      </c>
      <c r="D80" s="290">
        <v>445900</v>
      </c>
      <c r="E80" s="291">
        <f t="shared" si="6"/>
        <v>403352.08333333331</v>
      </c>
      <c r="F80" s="292">
        <f t="shared" si="9"/>
        <v>80670.416666666672</v>
      </c>
      <c r="G80" s="293">
        <v>2211</v>
      </c>
      <c r="H80" s="293">
        <f t="shared" si="10"/>
        <v>132660</v>
      </c>
      <c r="I80" s="233">
        <f t="shared" si="7"/>
        <v>59140</v>
      </c>
      <c r="J80" s="233">
        <f t="shared" si="11"/>
        <v>1232.0833333333333</v>
      </c>
      <c r="K80" s="233">
        <f t="shared" si="12"/>
        <v>79438.333333333343</v>
      </c>
      <c r="L80" s="175">
        <f t="shared" si="5"/>
        <v>103.62591789369553</v>
      </c>
      <c r="M80" s="294">
        <f t="shared" si="8"/>
        <v>97.615073472940466</v>
      </c>
    </row>
    <row r="81" spans="2:13" ht="12" hidden="1" customHeight="1">
      <c r="B81" s="103" t="s">
        <v>204</v>
      </c>
      <c r="C81" s="262" t="s">
        <v>204</v>
      </c>
      <c r="D81" s="290">
        <v>446400</v>
      </c>
      <c r="E81" s="291">
        <f t="shared" si="6"/>
        <v>405012.5</v>
      </c>
      <c r="F81" s="292">
        <f t="shared" si="9"/>
        <v>81002.5</v>
      </c>
      <c r="G81" s="293">
        <v>2161</v>
      </c>
      <c r="H81" s="293">
        <f t="shared" si="10"/>
        <v>129660</v>
      </c>
      <c r="I81" s="233">
        <f t="shared" si="7"/>
        <v>56320</v>
      </c>
      <c r="J81" s="233">
        <f t="shared" si="11"/>
        <v>1173.3333333333333</v>
      </c>
      <c r="K81" s="233">
        <f t="shared" si="12"/>
        <v>79829.166666666672</v>
      </c>
      <c r="L81" s="175">
        <f t="shared" si="5"/>
        <v>103.65909742624184</v>
      </c>
      <c r="M81" s="294">
        <f t="shared" si="8"/>
        <v>98.095335620295941</v>
      </c>
    </row>
    <row r="82" spans="2:13" ht="12" hidden="1" customHeight="1">
      <c r="B82" s="103" t="s">
        <v>206</v>
      </c>
      <c r="C82" s="262" t="s">
        <v>206</v>
      </c>
      <c r="D82" s="290">
        <v>443600</v>
      </c>
      <c r="E82" s="291">
        <f t="shared" si="6"/>
        <v>406556.25</v>
      </c>
      <c r="F82" s="292">
        <f t="shared" si="9"/>
        <v>81311.25</v>
      </c>
      <c r="G82" s="293">
        <v>2024</v>
      </c>
      <c r="H82" s="293">
        <f t="shared" si="10"/>
        <v>121440</v>
      </c>
      <c r="I82" s="233">
        <f t="shared" si="7"/>
        <v>47540</v>
      </c>
      <c r="J82" s="233">
        <f t="shared" si="11"/>
        <v>990.41666666666663</v>
      </c>
      <c r="K82" s="233">
        <f t="shared" si="12"/>
        <v>80320.833333333328</v>
      </c>
      <c r="L82" s="175">
        <f t="shared" si="5"/>
        <v>103.79827263132955</v>
      </c>
      <c r="M82" s="294">
        <f t="shared" si="8"/>
        <v>98.69950335364291</v>
      </c>
    </row>
    <row r="83" spans="2:13" ht="12" hidden="1" customHeight="1">
      <c r="B83" s="103" t="s">
        <v>207</v>
      </c>
      <c r="C83" s="262" t="s">
        <v>207</v>
      </c>
      <c r="D83" s="290">
        <v>444700</v>
      </c>
      <c r="E83" s="291">
        <f t="shared" si="6"/>
        <v>408056.25</v>
      </c>
      <c r="F83" s="292">
        <f t="shared" si="9"/>
        <v>81611.25</v>
      </c>
      <c r="G83" s="293">
        <v>1949</v>
      </c>
      <c r="H83" s="293">
        <f t="shared" si="10"/>
        <v>116940</v>
      </c>
      <c r="I83" s="233">
        <f t="shared" si="7"/>
        <v>42400</v>
      </c>
      <c r="J83" s="233">
        <f t="shared" si="11"/>
        <v>883.33333333333337</v>
      </c>
      <c r="K83" s="233">
        <f t="shared" si="12"/>
        <v>80727.916666666672</v>
      </c>
      <c r="L83" s="175">
        <f t="shared" si="5"/>
        <v>103.83456954210256</v>
      </c>
      <c r="M83" s="294">
        <f t="shared" si="8"/>
        <v>99.199733756592082</v>
      </c>
    </row>
    <row r="84" spans="2:13" ht="12" hidden="1" customHeight="1">
      <c r="B84" s="103" t="s">
        <v>208</v>
      </c>
      <c r="C84" s="262" t="s">
        <v>208</v>
      </c>
      <c r="D84" s="290">
        <v>442900</v>
      </c>
      <c r="E84" s="291">
        <f t="shared" si="6"/>
        <v>409343.75</v>
      </c>
      <c r="F84" s="292">
        <f t="shared" si="9"/>
        <v>81868.75</v>
      </c>
      <c r="G84" s="293">
        <v>1921</v>
      </c>
      <c r="H84" s="293">
        <f t="shared" si="10"/>
        <v>115260</v>
      </c>
      <c r="I84" s="233">
        <f t="shared" si="7"/>
        <v>39040</v>
      </c>
      <c r="J84" s="233">
        <f t="shared" si="11"/>
        <v>813.33333333333337</v>
      </c>
      <c r="K84" s="233">
        <f t="shared" si="12"/>
        <v>81055.416666666672</v>
      </c>
      <c r="L84" s="175">
        <f t="shared" si="5"/>
        <v>103.80851245490832</v>
      </c>
      <c r="M84" s="294">
        <f t="shared" si="8"/>
        <v>99.602170907787624</v>
      </c>
    </row>
    <row r="85" spans="2:13" ht="12" hidden="1" customHeight="1">
      <c r="B85" s="105" t="s">
        <v>209</v>
      </c>
      <c r="C85" s="263" t="s">
        <v>209</v>
      </c>
      <c r="D85" s="305">
        <v>446200</v>
      </c>
      <c r="E85" s="310">
        <f t="shared" si="6"/>
        <v>410543.75</v>
      </c>
      <c r="F85" s="307">
        <f t="shared" si="9"/>
        <v>82108.75</v>
      </c>
      <c r="G85" s="306">
        <v>1879</v>
      </c>
      <c r="H85" s="306">
        <f t="shared" si="10"/>
        <v>112740</v>
      </c>
      <c r="I85" s="235">
        <f t="shared" si="7"/>
        <v>35020</v>
      </c>
      <c r="J85" s="235">
        <f t="shared" si="11"/>
        <v>729.58333333333337</v>
      </c>
      <c r="K85" s="235">
        <f t="shared" si="12"/>
        <v>81379.166666666672</v>
      </c>
      <c r="L85" s="182">
        <f t="shared" si="5"/>
        <v>103.83858791004307</v>
      </c>
      <c r="M85" s="308">
        <f>K85/$K$85*100</f>
        <v>100</v>
      </c>
    </row>
    <row r="86" spans="2:13" ht="12" hidden="1" customHeight="1">
      <c r="B86" s="104" t="s">
        <v>216</v>
      </c>
      <c r="C86" s="264" t="s">
        <v>251</v>
      </c>
      <c r="D86" s="290">
        <v>457700</v>
      </c>
      <c r="E86" s="291">
        <f t="shared" si="6"/>
        <v>411920.83333333331</v>
      </c>
      <c r="F86" s="292">
        <f t="shared" si="9"/>
        <v>82384.166666666672</v>
      </c>
      <c r="G86" s="293">
        <v>1908</v>
      </c>
      <c r="H86" s="293">
        <f t="shared" si="10"/>
        <v>114480</v>
      </c>
      <c r="I86" s="233">
        <f t="shared" si="7"/>
        <v>36160</v>
      </c>
      <c r="J86" s="233">
        <f t="shared" si="11"/>
        <v>753.33333333333337</v>
      </c>
      <c r="K86" s="233">
        <f t="shared" si="12"/>
        <v>81630.833333333343</v>
      </c>
      <c r="L86" s="175">
        <f t="shared" si="5"/>
        <v>104.31666551300005</v>
      </c>
      <c r="M86" s="294">
        <f t="shared" ref="M86:M149" si="13">K86/$K$85*100</f>
        <v>100.30925195842508</v>
      </c>
    </row>
    <row r="87" spans="2:13" ht="12" hidden="1" customHeight="1">
      <c r="B87" s="103" t="s">
        <v>198</v>
      </c>
      <c r="C87" s="262" t="s">
        <v>198</v>
      </c>
      <c r="D87" s="290">
        <v>465200</v>
      </c>
      <c r="E87" s="291">
        <f t="shared" si="6"/>
        <v>413264.58333333331</v>
      </c>
      <c r="F87" s="292">
        <f t="shared" si="9"/>
        <v>82652.916666666672</v>
      </c>
      <c r="G87" s="293">
        <v>1950</v>
      </c>
      <c r="H87" s="293">
        <f t="shared" si="10"/>
        <v>117000</v>
      </c>
      <c r="I87" s="233">
        <f t="shared" si="7"/>
        <v>36860</v>
      </c>
      <c r="J87" s="233">
        <f t="shared" si="11"/>
        <v>767.91666666666663</v>
      </c>
      <c r="K87" s="233">
        <f t="shared" si="12"/>
        <v>81885</v>
      </c>
      <c r="L87" s="175">
        <f t="shared" si="5"/>
        <v>104.39466457017492</v>
      </c>
      <c r="M87" s="294">
        <f t="shared" si="13"/>
        <v>100.62157595617222</v>
      </c>
    </row>
    <row r="88" spans="2:13" ht="12" hidden="1" customHeight="1">
      <c r="B88" s="103" t="s">
        <v>199</v>
      </c>
      <c r="C88" s="262" t="s">
        <v>199</v>
      </c>
      <c r="D88" s="290">
        <v>472100</v>
      </c>
      <c r="E88" s="291">
        <f t="shared" si="6"/>
        <v>414722.91666666669</v>
      </c>
      <c r="F88" s="292">
        <f t="shared" si="9"/>
        <v>82944.583333333343</v>
      </c>
      <c r="G88" s="293">
        <v>1981</v>
      </c>
      <c r="H88" s="293">
        <f t="shared" si="10"/>
        <v>118860</v>
      </c>
      <c r="I88" s="233">
        <f t="shared" si="7"/>
        <v>38440</v>
      </c>
      <c r="J88" s="233">
        <f t="shared" si="11"/>
        <v>800.83333333333337</v>
      </c>
      <c r="K88" s="233">
        <f t="shared" si="12"/>
        <v>82143.750000000015</v>
      </c>
      <c r="L88" s="175">
        <f t="shared" si="5"/>
        <v>104.41891505386597</v>
      </c>
      <c r="M88" s="294">
        <f t="shared" si="13"/>
        <v>100.93953202600994</v>
      </c>
    </row>
    <row r="89" spans="2:13" ht="12" hidden="1" customHeight="1">
      <c r="B89" s="103" t="s">
        <v>200</v>
      </c>
      <c r="C89" s="262" t="s">
        <v>200</v>
      </c>
      <c r="D89" s="290">
        <v>476600</v>
      </c>
      <c r="E89" s="291">
        <f t="shared" si="6"/>
        <v>416166.66666666669</v>
      </c>
      <c r="F89" s="292">
        <f t="shared" si="9"/>
        <v>83233.333333333343</v>
      </c>
      <c r="G89" s="293">
        <v>2044</v>
      </c>
      <c r="H89" s="293">
        <f t="shared" si="10"/>
        <v>122640</v>
      </c>
      <c r="I89" s="233">
        <f t="shared" si="7"/>
        <v>41180</v>
      </c>
      <c r="J89" s="233">
        <f t="shared" si="11"/>
        <v>857.91666666666663</v>
      </c>
      <c r="K89" s="233">
        <f t="shared" si="12"/>
        <v>82375.416666666672</v>
      </c>
      <c r="L89" s="175">
        <f t="shared" si="5"/>
        <v>104.43020590130683</v>
      </c>
      <c r="M89" s="294">
        <f t="shared" si="13"/>
        <v>101.22420766985817</v>
      </c>
    </row>
    <row r="90" spans="2:13" ht="12" hidden="1" customHeight="1">
      <c r="B90" s="103" t="s">
        <v>201</v>
      </c>
      <c r="C90" s="262" t="s">
        <v>201</v>
      </c>
      <c r="D90" s="290">
        <v>469300</v>
      </c>
      <c r="E90" s="291">
        <f t="shared" si="6"/>
        <v>417341.66666666669</v>
      </c>
      <c r="F90" s="292">
        <f t="shared" si="9"/>
        <v>83468.333333333343</v>
      </c>
      <c r="G90" s="293">
        <v>2050</v>
      </c>
      <c r="H90" s="293">
        <f t="shared" si="10"/>
        <v>123000</v>
      </c>
      <c r="I90" s="233">
        <f t="shared" si="7"/>
        <v>40420</v>
      </c>
      <c r="J90" s="233">
        <f t="shared" si="11"/>
        <v>842.08333333333337</v>
      </c>
      <c r="K90" s="233">
        <f t="shared" si="12"/>
        <v>82626.250000000015</v>
      </c>
      <c r="L90" s="175">
        <f t="shared" si="5"/>
        <v>104.43045973984941</v>
      </c>
      <c r="M90" s="294">
        <f t="shared" si="13"/>
        <v>101.53243561517588</v>
      </c>
    </row>
    <row r="91" spans="2:13" ht="12" hidden="1" customHeight="1">
      <c r="B91" s="103" t="s">
        <v>202</v>
      </c>
      <c r="C91" s="262" t="s">
        <v>202</v>
      </c>
      <c r="D91" s="290">
        <v>459100</v>
      </c>
      <c r="E91" s="291">
        <f t="shared" si="6"/>
        <v>418354.16666666669</v>
      </c>
      <c r="F91" s="292">
        <f t="shared" si="9"/>
        <v>83670.833333333343</v>
      </c>
      <c r="G91" s="293">
        <v>2161</v>
      </c>
      <c r="H91" s="293">
        <f t="shared" si="10"/>
        <v>129660</v>
      </c>
      <c r="I91" s="233">
        <f t="shared" si="7"/>
        <v>47560</v>
      </c>
      <c r="J91" s="233">
        <f t="shared" si="11"/>
        <v>990.83333333333337</v>
      </c>
      <c r="K91" s="233">
        <f t="shared" si="12"/>
        <v>82680.000000000015</v>
      </c>
      <c r="L91" s="175">
        <f t="shared" ref="L91:L154" si="14">K91/K79*100</f>
        <v>104.37252457671249</v>
      </c>
      <c r="M91" s="294">
        <f t="shared" si="13"/>
        <v>101.59848446060111</v>
      </c>
    </row>
    <row r="92" spans="2:13" ht="12" hidden="1" customHeight="1">
      <c r="B92" s="103" t="s">
        <v>203</v>
      </c>
      <c r="C92" s="262" t="s">
        <v>203</v>
      </c>
      <c r="D92" s="290">
        <v>455800</v>
      </c>
      <c r="E92" s="291">
        <f t="shared" si="6"/>
        <v>419275</v>
      </c>
      <c r="F92" s="292">
        <f t="shared" si="9"/>
        <v>83855</v>
      </c>
      <c r="G92" s="293">
        <v>2174</v>
      </c>
      <c r="H92" s="293">
        <f t="shared" si="10"/>
        <v>130440</v>
      </c>
      <c r="I92" s="233">
        <f t="shared" si="7"/>
        <v>48120</v>
      </c>
      <c r="J92" s="233">
        <f t="shared" si="11"/>
        <v>1002.5</v>
      </c>
      <c r="K92" s="233">
        <f t="shared" si="12"/>
        <v>82852.5</v>
      </c>
      <c r="L92" s="175">
        <f t="shared" si="14"/>
        <v>104.29788305394121</v>
      </c>
      <c r="M92" s="294">
        <f t="shared" si="13"/>
        <v>101.81045517382621</v>
      </c>
    </row>
    <row r="93" spans="2:13" ht="12" hidden="1" customHeight="1">
      <c r="B93" s="103" t="s">
        <v>205</v>
      </c>
      <c r="C93" s="262" t="s">
        <v>205</v>
      </c>
      <c r="D93" s="290">
        <v>459600</v>
      </c>
      <c r="E93" s="291">
        <f t="shared" si="6"/>
        <v>420260.41666666669</v>
      </c>
      <c r="F93" s="292">
        <f t="shared" si="9"/>
        <v>84052.083333333343</v>
      </c>
      <c r="G93" s="293">
        <v>2129</v>
      </c>
      <c r="H93" s="293">
        <f t="shared" si="10"/>
        <v>127740</v>
      </c>
      <c r="I93" s="233">
        <f t="shared" si="7"/>
        <v>45280</v>
      </c>
      <c r="J93" s="233">
        <f t="shared" si="11"/>
        <v>943.33333333333337</v>
      </c>
      <c r="K93" s="233">
        <f t="shared" si="12"/>
        <v>83108.750000000015</v>
      </c>
      <c r="L93" s="175">
        <f t="shared" si="14"/>
        <v>104.10825199645078</v>
      </c>
      <c r="M93" s="294">
        <f t="shared" si="13"/>
        <v>102.12533920434184</v>
      </c>
    </row>
    <row r="94" spans="2:13" ht="12" hidden="1" customHeight="1">
      <c r="B94" s="103" t="s">
        <v>252</v>
      </c>
      <c r="C94" s="262" t="s">
        <v>252</v>
      </c>
      <c r="D94" s="290">
        <v>453200</v>
      </c>
      <c r="E94" s="291">
        <f t="shared" si="6"/>
        <v>421216.66666666669</v>
      </c>
      <c r="F94" s="292">
        <f t="shared" si="9"/>
        <v>84243.333333333343</v>
      </c>
      <c r="G94" s="293">
        <v>2305</v>
      </c>
      <c r="H94" s="293">
        <f t="shared" si="10"/>
        <v>138300</v>
      </c>
      <c r="I94" s="233">
        <f t="shared" si="7"/>
        <v>56840</v>
      </c>
      <c r="J94" s="233">
        <f t="shared" si="11"/>
        <v>1184.1666666666667</v>
      </c>
      <c r="K94" s="233">
        <f t="shared" si="12"/>
        <v>83059.166666666672</v>
      </c>
      <c r="L94" s="175">
        <f t="shared" si="14"/>
        <v>103.4092441769985</v>
      </c>
      <c r="M94" s="294">
        <f t="shared" si="13"/>
        <v>102.06441042445343</v>
      </c>
    </row>
    <row r="95" spans="2:13" ht="12" hidden="1" customHeight="1">
      <c r="B95" s="103" t="s">
        <v>247</v>
      </c>
      <c r="C95" s="262" t="s">
        <v>247</v>
      </c>
      <c r="D95" s="290">
        <v>447200</v>
      </c>
      <c r="E95" s="291">
        <f t="shared" si="6"/>
        <v>422656.25</v>
      </c>
      <c r="F95" s="292">
        <f t="shared" si="9"/>
        <v>84531.25</v>
      </c>
      <c r="G95" s="293">
        <v>2274</v>
      </c>
      <c r="H95" s="293">
        <f t="shared" si="10"/>
        <v>136440</v>
      </c>
      <c r="I95" s="233">
        <f t="shared" si="7"/>
        <v>60820</v>
      </c>
      <c r="J95" s="233">
        <f t="shared" si="11"/>
        <v>1267.0833333333333</v>
      </c>
      <c r="K95" s="233">
        <f t="shared" si="12"/>
        <v>83264.166666666672</v>
      </c>
      <c r="L95" s="175">
        <f t="shared" si="14"/>
        <v>103.14172606543586</v>
      </c>
      <c r="M95" s="294">
        <f t="shared" si="13"/>
        <v>102.3163176488659</v>
      </c>
    </row>
    <row r="96" spans="2:13" ht="12" hidden="1" customHeight="1">
      <c r="B96" s="103" t="s">
        <v>235</v>
      </c>
      <c r="C96" s="262" t="s">
        <v>235</v>
      </c>
      <c r="D96" s="290">
        <v>449700</v>
      </c>
      <c r="E96" s="291">
        <f t="shared" si="6"/>
        <v>424360.41666666669</v>
      </c>
      <c r="F96" s="292">
        <f t="shared" si="9"/>
        <v>84872.083333333343</v>
      </c>
      <c r="G96" s="293">
        <v>2098</v>
      </c>
      <c r="H96" s="293">
        <f t="shared" si="10"/>
        <v>125880</v>
      </c>
      <c r="I96" s="233">
        <f t="shared" si="7"/>
        <v>52300</v>
      </c>
      <c r="J96" s="233">
        <f t="shared" si="11"/>
        <v>1089.5833333333333</v>
      </c>
      <c r="K96" s="233">
        <f t="shared" si="12"/>
        <v>83782.500000000015</v>
      </c>
      <c r="L96" s="175">
        <f t="shared" si="14"/>
        <v>103.36446772527029</v>
      </c>
      <c r="M96" s="294">
        <f t="shared" si="13"/>
        <v>102.95325380164869</v>
      </c>
    </row>
    <row r="97" spans="2:13" ht="12" hidden="1" customHeight="1">
      <c r="B97" s="105" t="s">
        <v>253</v>
      </c>
      <c r="C97" s="263" t="s">
        <v>253</v>
      </c>
      <c r="D97" s="290">
        <v>448600</v>
      </c>
      <c r="E97" s="291">
        <f t="shared" si="6"/>
        <v>426210.41666666669</v>
      </c>
      <c r="F97" s="292">
        <f t="shared" si="9"/>
        <v>85242.083333333343</v>
      </c>
      <c r="G97" s="293">
        <v>1982</v>
      </c>
      <c r="H97" s="293">
        <f t="shared" si="10"/>
        <v>118920</v>
      </c>
      <c r="I97" s="233">
        <f t="shared" si="7"/>
        <v>46960</v>
      </c>
      <c r="J97" s="233">
        <f t="shared" si="11"/>
        <v>978.33333333333337</v>
      </c>
      <c r="K97" s="233">
        <f t="shared" si="12"/>
        <v>84263.750000000015</v>
      </c>
      <c r="L97" s="175">
        <f t="shared" si="14"/>
        <v>103.54462137115357</v>
      </c>
      <c r="M97" s="294">
        <f t="shared" si="13"/>
        <v>103.54462137115357</v>
      </c>
    </row>
    <row r="98" spans="2:13" ht="12" hidden="1" customHeight="1">
      <c r="B98" s="104" t="s">
        <v>254</v>
      </c>
      <c r="C98" s="264" t="s">
        <v>228</v>
      </c>
      <c r="D98" s="301">
        <v>456000</v>
      </c>
      <c r="E98" s="309">
        <f t="shared" si="6"/>
        <v>428329.16666666669</v>
      </c>
      <c r="F98" s="303">
        <f t="shared" si="9"/>
        <v>85665.833333333343</v>
      </c>
      <c r="G98" s="302">
        <v>2025</v>
      </c>
      <c r="H98" s="302">
        <f t="shared" si="10"/>
        <v>121500</v>
      </c>
      <c r="I98" s="239">
        <f t="shared" si="7"/>
        <v>50640</v>
      </c>
      <c r="J98" s="239">
        <f t="shared" si="11"/>
        <v>1055</v>
      </c>
      <c r="K98" s="239">
        <f t="shared" si="12"/>
        <v>84610.833333333343</v>
      </c>
      <c r="L98" s="178">
        <f t="shared" si="14"/>
        <v>103.65058137754322</v>
      </c>
      <c r="M98" s="304">
        <f t="shared" si="13"/>
        <v>103.97112283037224</v>
      </c>
    </row>
    <row r="99" spans="2:13" ht="12" hidden="1" customHeight="1">
      <c r="B99" s="103" t="s">
        <v>198</v>
      </c>
      <c r="C99" s="262" t="s">
        <v>255</v>
      </c>
      <c r="D99" s="290">
        <v>456600</v>
      </c>
      <c r="E99" s="291">
        <f t="shared" si="6"/>
        <v>430489.58333333331</v>
      </c>
      <c r="F99" s="292">
        <f t="shared" si="9"/>
        <v>86097.916666666672</v>
      </c>
      <c r="G99" s="293">
        <v>1885</v>
      </c>
      <c r="H99" s="293">
        <f t="shared" si="10"/>
        <v>113100</v>
      </c>
      <c r="I99" s="233">
        <f t="shared" si="7"/>
        <v>42520</v>
      </c>
      <c r="J99" s="233">
        <f t="shared" si="11"/>
        <v>885.83333333333337</v>
      </c>
      <c r="K99" s="233">
        <f t="shared" si="12"/>
        <v>85212.083333333343</v>
      </c>
      <c r="L99" s="175">
        <f t="shared" si="14"/>
        <v>104.0631169729906</v>
      </c>
      <c r="M99" s="294">
        <f t="shared" si="13"/>
        <v>104.70994828733808</v>
      </c>
    </row>
    <row r="100" spans="2:13" ht="12" hidden="1" customHeight="1">
      <c r="B100" s="103" t="s">
        <v>199</v>
      </c>
      <c r="C100" s="262" t="s">
        <v>199</v>
      </c>
      <c r="D100" s="290">
        <v>450000</v>
      </c>
      <c r="E100" s="291">
        <f t="shared" si="6"/>
        <v>432387.5</v>
      </c>
      <c r="F100" s="292">
        <f t="shared" si="9"/>
        <v>86477.5</v>
      </c>
      <c r="G100" s="293">
        <v>1910</v>
      </c>
      <c r="H100" s="293">
        <f t="shared" si="10"/>
        <v>114600</v>
      </c>
      <c r="I100" s="233">
        <f t="shared" si="7"/>
        <v>42820</v>
      </c>
      <c r="J100" s="233">
        <f t="shared" si="11"/>
        <v>892.08333333333337</v>
      </c>
      <c r="K100" s="233">
        <f t="shared" si="12"/>
        <v>85585.416666666672</v>
      </c>
      <c r="L100" s="175">
        <f t="shared" si="14"/>
        <v>104.18980953105581</v>
      </c>
      <c r="M100" s="294">
        <f t="shared" si="13"/>
        <v>105.16870615943883</v>
      </c>
    </row>
    <row r="101" spans="2:13" ht="12" hidden="1" customHeight="1">
      <c r="B101" s="103" t="s">
        <v>250</v>
      </c>
      <c r="C101" s="262" t="s">
        <v>250</v>
      </c>
      <c r="D101" s="290">
        <v>448700</v>
      </c>
      <c r="E101" s="291">
        <f t="shared" si="6"/>
        <v>434022.91666666669</v>
      </c>
      <c r="F101" s="292">
        <f t="shared" si="9"/>
        <v>86804.583333333343</v>
      </c>
      <c r="G101" s="293">
        <v>1984</v>
      </c>
      <c r="H101" s="293">
        <f t="shared" si="10"/>
        <v>119040</v>
      </c>
      <c r="I101" s="233">
        <f t="shared" si="7"/>
        <v>45000</v>
      </c>
      <c r="J101" s="233">
        <f t="shared" si="11"/>
        <v>937.5</v>
      </c>
      <c r="K101" s="233">
        <f t="shared" si="12"/>
        <v>85867.083333333343</v>
      </c>
      <c r="L101" s="175">
        <f t="shared" si="14"/>
        <v>104.23872413391942</v>
      </c>
      <c r="M101" s="294">
        <f t="shared" si="13"/>
        <v>105.51482258972915</v>
      </c>
    </row>
    <row r="102" spans="2:13" ht="12" hidden="1" customHeight="1">
      <c r="B102" s="103" t="s">
        <v>201</v>
      </c>
      <c r="C102" s="262" t="s">
        <v>201</v>
      </c>
      <c r="D102" s="290">
        <v>442700</v>
      </c>
      <c r="E102" s="291">
        <f t="shared" si="6"/>
        <v>435035.41666666669</v>
      </c>
      <c r="F102" s="292">
        <f t="shared" si="9"/>
        <v>87007.083333333343</v>
      </c>
      <c r="G102" s="293">
        <v>2108</v>
      </c>
      <c r="H102" s="293">
        <f t="shared" si="10"/>
        <v>126480</v>
      </c>
      <c r="I102" s="233">
        <f t="shared" si="7"/>
        <v>47660</v>
      </c>
      <c r="J102" s="233">
        <f t="shared" si="11"/>
        <v>992.91666666666663</v>
      </c>
      <c r="K102" s="233">
        <f t="shared" si="12"/>
        <v>86014.166666666672</v>
      </c>
      <c r="L102" s="175">
        <f t="shared" si="14"/>
        <v>104.10029096887085</v>
      </c>
      <c r="M102" s="294">
        <f t="shared" si="13"/>
        <v>105.69556090317955</v>
      </c>
    </row>
    <row r="103" spans="2:13" ht="12" hidden="1" customHeight="1">
      <c r="B103" s="103" t="s">
        <v>202</v>
      </c>
      <c r="C103" s="262" t="s">
        <v>202</v>
      </c>
      <c r="D103" s="290">
        <v>426900</v>
      </c>
      <c r="E103" s="291">
        <f t="shared" si="6"/>
        <v>436029.16666666669</v>
      </c>
      <c r="F103" s="292">
        <f t="shared" si="9"/>
        <v>87205.833333333343</v>
      </c>
      <c r="G103" s="293">
        <v>2067</v>
      </c>
      <c r="H103" s="293">
        <f t="shared" si="10"/>
        <v>124020</v>
      </c>
      <c r="I103" s="233">
        <f t="shared" si="7"/>
        <v>48180</v>
      </c>
      <c r="J103" s="233">
        <f t="shared" si="11"/>
        <v>1003.75</v>
      </c>
      <c r="K103" s="233">
        <f t="shared" si="12"/>
        <v>86202.083333333343</v>
      </c>
      <c r="L103" s="175">
        <f t="shared" si="14"/>
        <v>104.25989759716174</v>
      </c>
      <c r="M103" s="294">
        <f t="shared" si="13"/>
        <v>105.926475858891</v>
      </c>
    </row>
    <row r="104" spans="2:13" ht="12" hidden="1" customHeight="1">
      <c r="B104" s="103" t="s">
        <v>237</v>
      </c>
      <c r="C104" s="262" t="s">
        <v>237</v>
      </c>
      <c r="D104" s="290">
        <v>423000</v>
      </c>
      <c r="E104" s="291">
        <f t="shared" si="6"/>
        <v>436943.75</v>
      </c>
      <c r="F104" s="292">
        <f t="shared" si="9"/>
        <v>87388.75</v>
      </c>
      <c r="G104" s="293">
        <v>2033</v>
      </c>
      <c r="H104" s="293">
        <f t="shared" si="10"/>
        <v>121980</v>
      </c>
      <c r="I104" s="233">
        <f t="shared" si="7"/>
        <v>46160</v>
      </c>
      <c r="J104" s="233">
        <f t="shared" si="11"/>
        <v>961.66666666666663</v>
      </c>
      <c r="K104" s="233">
        <f t="shared" si="12"/>
        <v>86427.083333333328</v>
      </c>
      <c r="L104" s="175">
        <f t="shared" si="14"/>
        <v>104.31439405368978</v>
      </c>
      <c r="M104" s="294">
        <f t="shared" si="13"/>
        <v>106.20295939788026</v>
      </c>
    </row>
    <row r="105" spans="2:13" ht="12" hidden="1" customHeight="1">
      <c r="B105" s="103" t="s">
        <v>205</v>
      </c>
      <c r="C105" s="262" t="s">
        <v>205</v>
      </c>
      <c r="D105" s="290">
        <v>420300</v>
      </c>
      <c r="E105" s="291">
        <f t="shared" si="6"/>
        <v>437650</v>
      </c>
      <c r="F105" s="292">
        <f t="shared" si="9"/>
        <v>87530</v>
      </c>
      <c r="G105" s="293">
        <v>1950</v>
      </c>
      <c r="H105" s="293">
        <f t="shared" si="10"/>
        <v>117000</v>
      </c>
      <c r="I105" s="233">
        <f t="shared" si="7"/>
        <v>39720</v>
      </c>
      <c r="J105" s="233">
        <f t="shared" si="11"/>
        <v>827.5</v>
      </c>
      <c r="K105" s="233">
        <f t="shared" si="12"/>
        <v>86702.5</v>
      </c>
      <c r="L105" s="175">
        <f t="shared" si="14"/>
        <v>104.32415359393563</v>
      </c>
      <c r="M105" s="294">
        <f t="shared" si="13"/>
        <v>106.54139572986534</v>
      </c>
    </row>
    <row r="106" spans="2:13" ht="12" hidden="1" customHeight="1">
      <c r="B106" s="103" t="s">
        <v>206</v>
      </c>
      <c r="C106" s="262" t="s">
        <v>206</v>
      </c>
      <c r="D106" s="290">
        <v>421500</v>
      </c>
      <c r="E106" s="291">
        <f t="shared" si="6"/>
        <v>438312.5</v>
      </c>
      <c r="F106" s="292">
        <f t="shared" si="9"/>
        <v>87662.5</v>
      </c>
      <c r="G106" s="293">
        <v>1988</v>
      </c>
      <c r="H106" s="293">
        <f t="shared" si="10"/>
        <v>119280</v>
      </c>
      <c r="I106" s="233">
        <f t="shared" si="7"/>
        <v>41340</v>
      </c>
      <c r="J106" s="233">
        <f t="shared" si="11"/>
        <v>861.25</v>
      </c>
      <c r="K106" s="233">
        <f t="shared" si="12"/>
        <v>86801.25</v>
      </c>
      <c r="L106" s="175">
        <f t="shared" si="14"/>
        <v>104.50532251106139</v>
      </c>
      <c r="M106" s="294">
        <f t="shared" si="13"/>
        <v>106.66274128308841</v>
      </c>
    </row>
    <row r="107" spans="2:13" ht="12" hidden="1" customHeight="1">
      <c r="B107" s="103" t="s">
        <v>207</v>
      </c>
      <c r="C107" s="262" t="s">
        <v>207</v>
      </c>
      <c r="D107" s="290">
        <v>420700</v>
      </c>
      <c r="E107" s="291">
        <f t="shared" si="6"/>
        <v>438847.91666666669</v>
      </c>
      <c r="F107" s="292">
        <f t="shared" si="9"/>
        <v>87769.583333333343</v>
      </c>
      <c r="G107" s="293">
        <v>1934</v>
      </c>
      <c r="H107" s="293">
        <f t="shared" si="10"/>
        <v>116040</v>
      </c>
      <c r="I107" s="233">
        <f t="shared" si="7"/>
        <v>37040</v>
      </c>
      <c r="J107" s="233">
        <f t="shared" si="11"/>
        <v>771.66666666666663</v>
      </c>
      <c r="K107" s="233">
        <f t="shared" si="12"/>
        <v>86997.916666666672</v>
      </c>
      <c r="L107" s="175">
        <f t="shared" si="14"/>
        <v>104.48422190418047</v>
      </c>
      <c r="M107" s="294">
        <f t="shared" si="13"/>
        <v>106.90440837642721</v>
      </c>
    </row>
    <row r="108" spans="2:13" ht="12" hidden="1" customHeight="1">
      <c r="B108" s="103" t="s">
        <v>208</v>
      </c>
      <c r="C108" s="262" t="s">
        <v>208</v>
      </c>
      <c r="D108" s="290">
        <v>420200</v>
      </c>
      <c r="E108" s="291">
        <f t="shared" si="6"/>
        <v>439241.66666666669</v>
      </c>
      <c r="F108" s="292">
        <f t="shared" si="9"/>
        <v>87848.333333333343</v>
      </c>
      <c r="G108" s="293">
        <v>2021</v>
      </c>
      <c r="H108" s="293">
        <f t="shared" si="10"/>
        <v>121260</v>
      </c>
      <c r="I108" s="233">
        <f t="shared" si="7"/>
        <v>41000</v>
      </c>
      <c r="J108" s="233">
        <f t="shared" si="11"/>
        <v>854.16666666666663</v>
      </c>
      <c r="K108" s="233">
        <f t="shared" si="12"/>
        <v>86994.166666666672</v>
      </c>
      <c r="L108" s="175">
        <f t="shared" si="14"/>
        <v>103.83333830652781</v>
      </c>
      <c r="M108" s="294">
        <f t="shared" si="13"/>
        <v>106.89980031744406</v>
      </c>
    </row>
    <row r="109" spans="2:13" ht="12" hidden="1" customHeight="1">
      <c r="B109" s="105" t="s">
        <v>209</v>
      </c>
      <c r="C109" s="263" t="s">
        <v>209</v>
      </c>
      <c r="D109" s="305">
        <v>434600</v>
      </c>
      <c r="E109" s="310">
        <f t="shared" si="6"/>
        <v>439979.16666666669</v>
      </c>
      <c r="F109" s="307">
        <f t="shared" si="9"/>
        <v>87995.833333333343</v>
      </c>
      <c r="G109" s="306">
        <v>1985</v>
      </c>
      <c r="H109" s="306">
        <f t="shared" si="10"/>
        <v>119100</v>
      </c>
      <c r="I109" s="235">
        <f t="shared" si="7"/>
        <v>39260</v>
      </c>
      <c r="J109" s="235">
        <f t="shared" si="11"/>
        <v>817.91666666666663</v>
      </c>
      <c r="K109" s="235">
        <f t="shared" si="12"/>
        <v>87177.916666666672</v>
      </c>
      <c r="L109" s="182">
        <f t="shared" si="14"/>
        <v>103.45838710793984</v>
      </c>
      <c r="M109" s="308">
        <f t="shared" si="13"/>
        <v>107.12559520761866</v>
      </c>
    </row>
    <row r="110" spans="2:13" ht="12" hidden="1" customHeight="1">
      <c r="B110" s="104" t="s">
        <v>229</v>
      </c>
      <c r="C110" s="264" t="s">
        <v>256</v>
      </c>
      <c r="D110" s="346">
        <v>437500</v>
      </c>
      <c r="E110" s="352">
        <f t="shared" si="6"/>
        <v>440660.41666666669</v>
      </c>
      <c r="F110" s="353">
        <f t="shared" si="9"/>
        <v>88132.083333333343</v>
      </c>
      <c r="G110" s="349">
        <v>2148</v>
      </c>
      <c r="H110" s="349">
        <f t="shared" si="10"/>
        <v>128880</v>
      </c>
      <c r="I110" s="354">
        <f t="shared" si="7"/>
        <v>47920</v>
      </c>
      <c r="J110" s="354">
        <f t="shared" si="11"/>
        <v>998.33333333333337</v>
      </c>
      <c r="K110" s="354">
        <f t="shared" si="12"/>
        <v>87133.750000000015</v>
      </c>
      <c r="L110" s="355">
        <f t="shared" si="14"/>
        <v>102.98178917199334</v>
      </c>
      <c r="M110" s="356">
        <f t="shared" si="13"/>
        <v>107.07132251292816</v>
      </c>
    </row>
    <row r="111" spans="2:13" ht="12" hidden="1" customHeight="1">
      <c r="B111" s="103" t="s">
        <v>255</v>
      </c>
      <c r="C111" s="262" t="s">
        <v>255</v>
      </c>
      <c r="D111" s="346">
        <v>435900</v>
      </c>
      <c r="E111" s="352">
        <f t="shared" si="6"/>
        <v>441183.33333333331</v>
      </c>
      <c r="F111" s="353">
        <f t="shared" si="9"/>
        <v>88236.666666666672</v>
      </c>
      <c r="G111" s="349">
        <v>2140</v>
      </c>
      <c r="H111" s="349">
        <f t="shared" si="10"/>
        <v>128400</v>
      </c>
      <c r="I111" s="354">
        <f t="shared" si="7"/>
        <v>46240</v>
      </c>
      <c r="J111" s="354">
        <f t="shared" si="11"/>
        <v>963.33333333333337</v>
      </c>
      <c r="K111" s="354">
        <f t="shared" si="12"/>
        <v>87273.333333333343</v>
      </c>
      <c r="L111" s="355">
        <f t="shared" si="14"/>
        <v>102.41896444655248</v>
      </c>
      <c r="M111" s="356">
        <f t="shared" si="13"/>
        <v>107.24284470841228</v>
      </c>
    </row>
    <row r="112" spans="2:13" ht="12" hidden="1" customHeight="1">
      <c r="B112" s="103" t="s">
        <v>199</v>
      </c>
      <c r="C112" s="262" t="s">
        <v>199</v>
      </c>
      <c r="D112" s="346">
        <v>441400</v>
      </c>
      <c r="E112" s="352">
        <f t="shared" si="6"/>
        <v>441485.41666666669</v>
      </c>
      <c r="F112" s="353">
        <f t="shared" si="9"/>
        <v>88297.083333333343</v>
      </c>
      <c r="G112" s="349">
        <v>2213</v>
      </c>
      <c r="H112" s="349">
        <f t="shared" si="10"/>
        <v>132780</v>
      </c>
      <c r="I112" s="354">
        <f t="shared" si="7"/>
        <v>47400</v>
      </c>
      <c r="J112" s="354">
        <f t="shared" si="11"/>
        <v>987.5</v>
      </c>
      <c r="K112" s="354">
        <f t="shared" si="12"/>
        <v>87309.583333333343</v>
      </c>
      <c r="L112" s="355">
        <f t="shared" si="14"/>
        <v>102.01455660767753</v>
      </c>
      <c r="M112" s="356">
        <f t="shared" si="13"/>
        <v>107.28738927858276</v>
      </c>
    </row>
    <row r="113" spans="2:13" ht="12" hidden="1" customHeight="1">
      <c r="B113" s="103" t="s">
        <v>250</v>
      </c>
      <c r="C113" s="262" t="s">
        <v>250</v>
      </c>
      <c r="D113" s="346">
        <v>428400</v>
      </c>
      <c r="E113" s="352">
        <f t="shared" si="6"/>
        <v>441577.08333333331</v>
      </c>
      <c r="F113" s="353">
        <f t="shared" si="9"/>
        <v>88315.416666666672</v>
      </c>
      <c r="G113" s="349">
        <v>2160</v>
      </c>
      <c r="H113" s="349">
        <f t="shared" si="10"/>
        <v>129600</v>
      </c>
      <c r="I113" s="354">
        <f t="shared" si="7"/>
        <v>44800</v>
      </c>
      <c r="J113" s="354">
        <f t="shared" si="11"/>
        <v>933.33333333333337</v>
      </c>
      <c r="K113" s="354">
        <f t="shared" si="12"/>
        <v>87382.083333333343</v>
      </c>
      <c r="L113" s="355">
        <f t="shared" si="14"/>
        <v>101.76435479253303</v>
      </c>
      <c r="M113" s="356">
        <f t="shared" si="13"/>
        <v>107.37647841892377</v>
      </c>
    </row>
    <row r="114" spans="2:13" ht="12" hidden="1" customHeight="1">
      <c r="B114" s="103" t="s">
        <v>201</v>
      </c>
      <c r="C114" s="262" t="s">
        <v>201</v>
      </c>
      <c r="D114" s="346">
        <v>428300</v>
      </c>
      <c r="E114" s="352">
        <f t="shared" si="6"/>
        <v>441662.5</v>
      </c>
      <c r="F114" s="353">
        <f t="shared" si="9"/>
        <v>88332.5</v>
      </c>
      <c r="G114" s="349">
        <v>2151</v>
      </c>
      <c r="H114" s="349">
        <f t="shared" si="10"/>
        <v>129060</v>
      </c>
      <c r="I114" s="354">
        <f t="shared" si="7"/>
        <v>44220</v>
      </c>
      <c r="J114" s="354">
        <f t="shared" si="11"/>
        <v>921.25</v>
      </c>
      <c r="K114" s="354">
        <f t="shared" si="12"/>
        <v>87411.25</v>
      </c>
      <c r="L114" s="355">
        <f t="shared" si="14"/>
        <v>101.62424794365268</v>
      </c>
      <c r="M114" s="356">
        <f t="shared" si="13"/>
        <v>107.41231887768163</v>
      </c>
    </row>
    <row r="115" spans="2:13" ht="12" hidden="1" customHeight="1">
      <c r="B115" s="103" t="s">
        <v>202</v>
      </c>
      <c r="C115" s="262" t="s">
        <v>202</v>
      </c>
      <c r="D115" s="346">
        <v>420600</v>
      </c>
      <c r="E115" s="352">
        <f t="shared" si="6"/>
        <v>441735.41666666669</v>
      </c>
      <c r="F115" s="353">
        <f t="shared" si="9"/>
        <v>88347.083333333343</v>
      </c>
      <c r="G115" s="349">
        <v>2165</v>
      </c>
      <c r="H115" s="349">
        <f t="shared" si="10"/>
        <v>129900</v>
      </c>
      <c r="I115" s="354">
        <f t="shared" si="7"/>
        <v>46480</v>
      </c>
      <c r="J115" s="354">
        <f t="shared" si="11"/>
        <v>968.33333333333337</v>
      </c>
      <c r="K115" s="354">
        <f t="shared" si="12"/>
        <v>87378.750000000015</v>
      </c>
      <c r="L115" s="355">
        <f t="shared" si="14"/>
        <v>101.36500954636634</v>
      </c>
      <c r="M115" s="356">
        <f t="shared" si="13"/>
        <v>107.37238236649431</v>
      </c>
    </row>
    <row r="116" spans="2:13" ht="12" hidden="1" customHeight="1">
      <c r="B116" s="103" t="s">
        <v>237</v>
      </c>
      <c r="C116" s="262" t="s">
        <v>237</v>
      </c>
      <c r="D116" s="346">
        <v>416200</v>
      </c>
      <c r="E116" s="352">
        <f t="shared" si="6"/>
        <v>441714.58333333331</v>
      </c>
      <c r="F116" s="353">
        <f t="shared" si="9"/>
        <v>88342.916666666672</v>
      </c>
      <c r="G116" s="349">
        <v>2212</v>
      </c>
      <c r="H116" s="349">
        <f t="shared" si="10"/>
        <v>132720</v>
      </c>
      <c r="I116" s="354">
        <f t="shared" si="7"/>
        <v>49280</v>
      </c>
      <c r="J116" s="354">
        <f t="shared" si="11"/>
        <v>1026.6666666666667</v>
      </c>
      <c r="K116" s="354">
        <f t="shared" si="12"/>
        <v>87316.25</v>
      </c>
      <c r="L116" s="355">
        <f t="shared" si="14"/>
        <v>101.02880559238278</v>
      </c>
      <c r="M116" s="356">
        <f t="shared" si="13"/>
        <v>107.29558138344171</v>
      </c>
    </row>
    <row r="117" spans="2:13" ht="12" hidden="1" customHeight="1">
      <c r="B117" s="103" t="s">
        <v>205</v>
      </c>
      <c r="C117" s="262" t="s">
        <v>205</v>
      </c>
      <c r="D117" s="346">
        <v>417400</v>
      </c>
      <c r="E117" s="352">
        <f t="shared" si="6"/>
        <v>441614.58333333331</v>
      </c>
      <c r="F117" s="353">
        <f t="shared" si="9"/>
        <v>88322.916666666672</v>
      </c>
      <c r="G117" s="349">
        <v>2090</v>
      </c>
      <c r="H117" s="349">
        <f t="shared" si="10"/>
        <v>125400</v>
      </c>
      <c r="I117" s="354">
        <f t="shared" si="7"/>
        <v>40960</v>
      </c>
      <c r="J117" s="354">
        <f>I117/48</f>
        <v>853.33333333333337</v>
      </c>
      <c r="K117" s="354">
        <f t="shared" si="12"/>
        <v>87469.583333333343</v>
      </c>
      <c r="L117" s="355">
        <f t="shared" si="14"/>
        <v>100.88473035187376</v>
      </c>
      <c r="M117" s="356">
        <f t="shared" si="13"/>
        <v>107.48399979519738</v>
      </c>
    </row>
    <row r="118" spans="2:13" ht="12" hidden="1" customHeight="1">
      <c r="B118" s="103" t="s">
        <v>206</v>
      </c>
      <c r="C118" s="262" t="s">
        <v>206</v>
      </c>
      <c r="D118" s="346">
        <v>425300</v>
      </c>
      <c r="E118" s="352">
        <f t="shared" si="6"/>
        <v>441704.16666666669</v>
      </c>
      <c r="F118" s="353">
        <f t="shared" si="9"/>
        <v>88340.833333333343</v>
      </c>
      <c r="G118" s="349">
        <v>2011</v>
      </c>
      <c r="H118" s="349">
        <f t="shared" si="10"/>
        <v>120660</v>
      </c>
      <c r="I118" s="354">
        <f t="shared" si="7"/>
        <v>36460</v>
      </c>
      <c r="J118" s="354">
        <f t="shared" ref="J118:J181" si="15">I118/48</f>
        <v>759.58333333333337</v>
      </c>
      <c r="K118" s="354">
        <f t="shared" si="12"/>
        <v>87581.250000000015</v>
      </c>
      <c r="L118" s="355">
        <f t="shared" si="14"/>
        <v>100.89860457078672</v>
      </c>
      <c r="M118" s="356">
        <f t="shared" si="13"/>
        <v>107.62121755158466</v>
      </c>
    </row>
    <row r="119" spans="2:13" ht="12" hidden="1" customHeight="1">
      <c r="B119" s="103" t="s">
        <v>207</v>
      </c>
      <c r="C119" s="262" t="s">
        <v>207</v>
      </c>
      <c r="D119" s="346">
        <v>422500</v>
      </c>
      <c r="E119" s="352">
        <f t="shared" si="6"/>
        <v>441691.66666666669</v>
      </c>
      <c r="F119" s="353">
        <f t="shared" si="9"/>
        <v>88338.333333333343</v>
      </c>
      <c r="G119" s="349">
        <v>1946</v>
      </c>
      <c r="H119" s="349">
        <f t="shared" si="10"/>
        <v>116760</v>
      </c>
      <c r="I119" s="354">
        <f t="shared" si="7"/>
        <v>32140</v>
      </c>
      <c r="J119" s="354">
        <f t="shared" si="15"/>
        <v>669.58333333333337</v>
      </c>
      <c r="K119" s="354">
        <f t="shared" si="12"/>
        <v>87668.750000000015</v>
      </c>
      <c r="L119" s="355">
        <f t="shared" si="14"/>
        <v>100.77109126176393</v>
      </c>
      <c r="M119" s="356">
        <f t="shared" si="13"/>
        <v>107.72873892785827</v>
      </c>
    </row>
    <row r="120" spans="2:13" ht="12" hidden="1" customHeight="1">
      <c r="B120" s="103" t="s">
        <v>208</v>
      </c>
      <c r="C120" s="262" t="s">
        <v>208</v>
      </c>
      <c r="D120" s="346">
        <v>420200</v>
      </c>
      <c r="E120" s="352">
        <f t="shared" si="6"/>
        <v>441616.66666666669</v>
      </c>
      <c r="F120" s="353">
        <f t="shared" si="9"/>
        <v>88323.333333333343</v>
      </c>
      <c r="G120" s="349">
        <v>1917</v>
      </c>
      <c r="H120" s="349">
        <f t="shared" si="10"/>
        <v>115020</v>
      </c>
      <c r="I120" s="354">
        <f t="shared" si="7"/>
        <v>30260</v>
      </c>
      <c r="J120" s="354">
        <f t="shared" si="15"/>
        <v>630.41666666666663</v>
      </c>
      <c r="K120" s="354">
        <f t="shared" si="12"/>
        <v>87692.916666666672</v>
      </c>
      <c r="L120" s="355">
        <f t="shared" si="14"/>
        <v>100.803214774937</v>
      </c>
      <c r="M120" s="356">
        <f t="shared" si="13"/>
        <v>107.75843530797194</v>
      </c>
    </row>
    <row r="121" spans="2:13" ht="12" hidden="1" customHeight="1">
      <c r="B121" s="105" t="s">
        <v>209</v>
      </c>
      <c r="C121" s="263" t="s">
        <v>209</v>
      </c>
      <c r="D121" s="346">
        <v>430100</v>
      </c>
      <c r="E121" s="352">
        <f t="shared" si="6"/>
        <v>441716.66666666669</v>
      </c>
      <c r="F121" s="353">
        <f t="shared" si="9"/>
        <v>88343.333333333343</v>
      </c>
      <c r="G121" s="349">
        <v>1948</v>
      </c>
      <c r="H121" s="349">
        <f t="shared" si="10"/>
        <v>116880</v>
      </c>
      <c r="I121" s="354">
        <f t="shared" si="7"/>
        <v>31820</v>
      </c>
      <c r="J121" s="354">
        <f t="shared" si="15"/>
        <v>662.91666666666663</v>
      </c>
      <c r="K121" s="354">
        <f t="shared" si="12"/>
        <v>87680.416666666672</v>
      </c>
      <c r="L121" s="355">
        <f t="shared" si="14"/>
        <v>100.57640744263408</v>
      </c>
      <c r="M121" s="356">
        <f t="shared" si="13"/>
        <v>107.74307511136143</v>
      </c>
    </row>
    <row r="122" spans="2:13" ht="12" hidden="1" customHeight="1">
      <c r="B122" s="104" t="s">
        <v>231</v>
      </c>
      <c r="C122" s="264" t="s">
        <v>257</v>
      </c>
      <c r="D122" s="347">
        <v>435700</v>
      </c>
      <c r="E122" s="357">
        <f t="shared" si="6"/>
        <v>441579.16666666669</v>
      </c>
      <c r="F122" s="358">
        <f t="shared" si="9"/>
        <v>88315.833333333343</v>
      </c>
      <c r="G122" s="350">
        <v>1838</v>
      </c>
      <c r="H122" s="350">
        <f t="shared" si="10"/>
        <v>110280</v>
      </c>
      <c r="I122" s="359">
        <f t="shared" si="7"/>
        <v>21820</v>
      </c>
      <c r="J122" s="359">
        <f t="shared" si="15"/>
        <v>454.58333333333331</v>
      </c>
      <c r="K122" s="359">
        <f t="shared" si="12"/>
        <v>87861.250000000015</v>
      </c>
      <c r="L122" s="360">
        <f t="shared" si="14"/>
        <v>100.83492332190454</v>
      </c>
      <c r="M122" s="361">
        <f t="shared" si="13"/>
        <v>107.96528595566024</v>
      </c>
    </row>
    <row r="123" spans="2:13" ht="12" hidden="1" customHeight="1">
      <c r="B123" s="103" t="s">
        <v>255</v>
      </c>
      <c r="C123" s="262" t="s">
        <v>255</v>
      </c>
      <c r="D123" s="346">
        <v>432400</v>
      </c>
      <c r="E123" s="352">
        <f t="shared" si="6"/>
        <v>441287.5</v>
      </c>
      <c r="F123" s="353">
        <f t="shared" si="9"/>
        <v>88257.5</v>
      </c>
      <c r="G123" s="349">
        <v>1919</v>
      </c>
      <c r="H123" s="349">
        <f t="shared" si="10"/>
        <v>115140</v>
      </c>
      <c r="I123" s="354">
        <f t="shared" si="7"/>
        <v>25860</v>
      </c>
      <c r="J123" s="354">
        <f t="shared" si="15"/>
        <v>538.75</v>
      </c>
      <c r="K123" s="354">
        <f t="shared" si="12"/>
        <v>87718.75</v>
      </c>
      <c r="L123" s="355">
        <f t="shared" si="14"/>
        <v>100.51036971965472</v>
      </c>
      <c r="M123" s="356">
        <f t="shared" si="13"/>
        <v>107.79017971430034</v>
      </c>
    </row>
    <row r="124" spans="2:13" ht="12" hidden="1" customHeight="1">
      <c r="B124" s="103" t="s">
        <v>199</v>
      </c>
      <c r="C124" s="262" t="s">
        <v>199</v>
      </c>
      <c r="D124" s="346">
        <v>441800</v>
      </c>
      <c r="E124" s="352">
        <f t="shared" si="6"/>
        <v>441395.83333333331</v>
      </c>
      <c r="F124" s="353">
        <f t="shared" si="9"/>
        <v>88279.166666666672</v>
      </c>
      <c r="G124" s="349">
        <v>1984</v>
      </c>
      <c r="H124" s="349">
        <f t="shared" si="10"/>
        <v>119040</v>
      </c>
      <c r="I124" s="354">
        <f t="shared" si="7"/>
        <v>31720</v>
      </c>
      <c r="J124" s="354">
        <f t="shared" si="15"/>
        <v>660.83333333333337</v>
      </c>
      <c r="K124" s="354">
        <f t="shared" si="12"/>
        <v>87618.333333333343</v>
      </c>
      <c r="L124" s="355">
        <f t="shared" si="14"/>
        <v>100.35362670191799</v>
      </c>
      <c r="M124" s="356">
        <f t="shared" si="13"/>
        <v>107.66678613486253</v>
      </c>
    </row>
    <row r="125" spans="2:13" ht="12" hidden="1" customHeight="1">
      <c r="B125" s="103" t="s">
        <v>250</v>
      </c>
      <c r="C125" s="262" t="s">
        <v>250</v>
      </c>
      <c r="D125" s="346">
        <v>445700</v>
      </c>
      <c r="E125" s="352">
        <f t="shared" si="6"/>
        <v>441295.83333333331</v>
      </c>
      <c r="F125" s="353">
        <f t="shared" si="9"/>
        <v>88259.166666666672</v>
      </c>
      <c r="G125" s="349">
        <v>2071</v>
      </c>
      <c r="H125" s="349">
        <f t="shared" si="10"/>
        <v>124260</v>
      </c>
      <c r="I125" s="354">
        <f t="shared" si="7"/>
        <v>34160</v>
      </c>
      <c r="J125" s="354">
        <f t="shared" si="15"/>
        <v>711.66666666666663</v>
      </c>
      <c r="K125" s="354">
        <f t="shared" si="12"/>
        <v>87547.5</v>
      </c>
      <c r="L125" s="355">
        <f t="shared" si="14"/>
        <v>100.1893027270083</v>
      </c>
      <c r="M125" s="356">
        <f t="shared" si="13"/>
        <v>107.57974502073625</v>
      </c>
    </row>
    <row r="126" spans="2:13" ht="12" hidden="1" customHeight="1">
      <c r="B126" s="103" t="s">
        <v>201</v>
      </c>
      <c r="C126" s="262" t="s">
        <v>201</v>
      </c>
      <c r="D126" s="346">
        <v>442500</v>
      </c>
      <c r="E126" s="352">
        <f t="shared" si="6"/>
        <v>441116.66666666669</v>
      </c>
      <c r="F126" s="353">
        <f t="shared" si="9"/>
        <v>88223.333333333343</v>
      </c>
      <c r="G126" s="349">
        <v>2117</v>
      </c>
      <c r="H126" s="349">
        <f t="shared" si="10"/>
        <v>127020</v>
      </c>
      <c r="I126" s="354">
        <f t="shared" si="7"/>
        <v>36800</v>
      </c>
      <c r="J126" s="354">
        <f t="shared" si="15"/>
        <v>766.66666666666663</v>
      </c>
      <c r="K126" s="354">
        <f t="shared" si="12"/>
        <v>87456.666666666672</v>
      </c>
      <c r="L126" s="355">
        <f t="shared" si="14"/>
        <v>100.05195746161584</v>
      </c>
      <c r="M126" s="356">
        <f t="shared" si="13"/>
        <v>107.46812759203317</v>
      </c>
    </row>
    <row r="127" spans="2:13" ht="12" hidden="1" customHeight="1">
      <c r="B127" s="103" t="s">
        <v>202</v>
      </c>
      <c r="C127" s="262" t="s">
        <v>202</v>
      </c>
      <c r="D127" s="346">
        <v>425900</v>
      </c>
      <c r="E127" s="352">
        <f t="shared" ref="E127:E190" si="16">AVERAGE(D80:D127)</f>
        <v>440683.33333333331</v>
      </c>
      <c r="F127" s="353">
        <f t="shared" si="9"/>
        <v>88136.666666666672</v>
      </c>
      <c r="G127" s="349">
        <v>2226</v>
      </c>
      <c r="H127" s="349">
        <f t="shared" si="10"/>
        <v>133560</v>
      </c>
      <c r="I127" s="354">
        <f t="shared" ref="I127:I190" si="17">H127-D79*0.2</f>
        <v>44220</v>
      </c>
      <c r="J127" s="354">
        <f t="shared" si="15"/>
        <v>921.25</v>
      </c>
      <c r="K127" s="354">
        <f t="shared" si="12"/>
        <v>87215.416666666672</v>
      </c>
      <c r="L127" s="355">
        <f t="shared" si="14"/>
        <v>99.813074307731171</v>
      </c>
      <c r="M127" s="356">
        <f t="shared" si="13"/>
        <v>107.17167579745022</v>
      </c>
    </row>
    <row r="128" spans="2:13" ht="12" hidden="1" customHeight="1">
      <c r="B128" s="103" t="s">
        <v>237</v>
      </c>
      <c r="C128" s="262" t="s">
        <v>237</v>
      </c>
      <c r="D128" s="346">
        <v>426900</v>
      </c>
      <c r="E128" s="352">
        <f t="shared" si="16"/>
        <v>440287.5</v>
      </c>
      <c r="F128" s="353">
        <f t="shared" si="9"/>
        <v>88057.5</v>
      </c>
      <c r="G128" s="349">
        <v>2334</v>
      </c>
      <c r="H128" s="349">
        <f t="shared" si="10"/>
        <v>140040</v>
      </c>
      <c r="I128" s="354">
        <f t="shared" si="17"/>
        <v>50860</v>
      </c>
      <c r="J128" s="354">
        <f t="shared" si="15"/>
        <v>1059.5833333333333</v>
      </c>
      <c r="K128" s="354">
        <f t="shared" si="12"/>
        <v>86997.916666666672</v>
      </c>
      <c r="L128" s="355">
        <f t="shared" si="14"/>
        <v>99.635424868414148</v>
      </c>
      <c r="M128" s="356">
        <f t="shared" si="13"/>
        <v>106.90440837642721</v>
      </c>
    </row>
    <row r="129" spans="2:13" ht="12" hidden="1" customHeight="1">
      <c r="B129" s="103" t="s">
        <v>205</v>
      </c>
      <c r="C129" s="262" t="s">
        <v>205</v>
      </c>
      <c r="D129" s="346">
        <v>419500</v>
      </c>
      <c r="E129" s="352">
        <f t="shared" si="16"/>
        <v>439727.08333333331</v>
      </c>
      <c r="F129" s="353">
        <f t="shared" si="9"/>
        <v>87945.416666666672</v>
      </c>
      <c r="G129" s="349">
        <v>2095</v>
      </c>
      <c r="H129" s="349">
        <f t="shared" si="10"/>
        <v>125700</v>
      </c>
      <c r="I129" s="354">
        <f t="shared" si="17"/>
        <v>36420</v>
      </c>
      <c r="J129" s="354">
        <f t="shared" si="15"/>
        <v>758.75</v>
      </c>
      <c r="K129" s="354">
        <f t="shared" si="12"/>
        <v>87186.666666666672</v>
      </c>
      <c r="L129" s="355">
        <f t="shared" si="14"/>
        <v>99.676554230756395</v>
      </c>
      <c r="M129" s="356">
        <f t="shared" si="13"/>
        <v>107.13634734524602</v>
      </c>
    </row>
    <row r="130" spans="2:13" ht="12" hidden="1" customHeight="1">
      <c r="B130" s="103" t="s">
        <v>206</v>
      </c>
      <c r="C130" s="262" t="s">
        <v>206</v>
      </c>
      <c r="D130" s="346">
        <v>409800</v>
      </c>
      <c r="E130" s="352">
        <f t="shared" si="16"/>
        <v>439022.91666666669</v>
      </c>
      <c r="F130" s="353">
        <f t="shared" si="9"/>
        <v>87804.583333333343</v>
      </c>
      <c r="G130" s="349">
        <v>2103</v>
      </c>
      <c r="H130" s="349">
        <f t="shared" si="10"/>
        <v>126180</v>
      </c>
      <c r="I130" s="354">
        <f t="shared" si="17"/>
        <v>37460</v>
      </c>
      <c r="J130" s="354">
        <f t="shared" si="15"/>
        <v>780.41666666666663</v>
      </c>
      <c r="K130" s="354">
        <f t="shared" si="12"/>
        <v>87024.166666666672</v>
      </c>
      <c r="L130" s="355">
        <f t="shared" si="14"/>
        <v>99.363923975356201</v>
      </c>
      <c r="M130" s="356">
        <f t="shared" si="13"/>
        <v>106.9366647893093</v>
      </c>
    </row>
    <row r="131" spans="2:13" ht="12" hidden="1" customHeight="1">
      <c r="B131" s="103" t="s">
        <v>207</v>
      </c>
      <c r="C131" s="262" t="s">
        <v>207</v>
      </c>
      <c r="D131" s="346">
        <v>398800</v>
      </c>
      <c r="E131" s="352">
        <f t="shared" si="16"/>
        <v>438066.66666666669</v>
      </c>
      <c r="F131" s="353">
        <f t="shared" si="9"/>
        <v>87613.333333333343</v>
      </c>
      <c r="G131" s="349">
        <v>1865</v>
      </c>
      <c r="H131" s="349">
        <f t="shared" si="10"/>
        <v>111900</v>
      </c>
      <c r="I131" s="354">
        <f t="shared" si="17"/>
        <v>22960</v>
      </c>
      <c r="J131" s="354">
        <f t="shared" si="15"/>
        <v>478.33333333333331</v>
      </c>
      <c r="K131" s="354">
        <f t="shared" si="12"/>
        <v>87135.000000000015</v>
      </c>
      <c r="L131" s="355">
        <f t="shared" si="14"/>
        <v>99.391174164112073</v>
      </c>
      <c r="M131" s="356">
        <f t="shared" si="13"/>
        <v>107.07285853258924</v>
      </c>
    </row>
    <row r="132" spans="2:13" ht="12" hidden="1" customHeight="1">
      <c r="B132" s="103" t="s">
        <v>208</v>
      </c>
      <c r="C132" s="262" t="s">
        <v>208</v>
      </c>
      <c r="D132" s="346">
        <v>408900</v>
      </c>
      <c r="E132" s="352">
        <f t="shared" si="16"/>
        <v>437358.33333333331</v>
      </c>
      <c r="F132" s="353">
        <f t="shared" si="9"/>
        <v>87471.666666666672</v>
      </c>
      <c r="G132" s="349">
        <v>1851</v>
      </c>
      <c r="H132" s="349">
        <f t="shared" si="10"/>
        <v>111060</v>
      </c>
      <c r="I132" s="354">
        <f t="shared" si="17"/>
        <v>22480</v>
      </c>
      <c r="J132" s="354">
        <f t="shared" si="15"/>
        <v>468.33333333333331</v>
      </c>
      <c r="K132" s="354">
        <f t="shared" si="12"/>
        <v>87003.333333333343</v>
      </c>
      <c r="L132" s="355">
        <f t="shared" si="14"/>
        <v>99.213638501779414</v>
      </c>
      <c r="M132" s="356">
        <f t="shared" si="13"/>
        <v>106.9110644616251</v>
      </c>
    </row>
    <row r="133" spans="2:13" ht="12" hidden="1" customHeight="1">
      <c r="B133" s="105" t="s">
        <v>209</v>
      </c>
      <c r="C133" s="263" t="s">
        <v>209</v>
      </c>
      <c r="D133" s="348">
        <v>423400</v>
      </c>
      <c r="E133" s="362">
        <f t="shared" si="16"/>
        <v>436883.33333333331</v>
      </c>
      <c r="F133" s="363">
        <f t="shared" si="9"/>
        <v>87376.666666666672</v>
      </c>
      <c r="G133" s="351">
        <v>1763</v>
      </c>
      <c r="H133" s="351">
        <f t="shared" si="10"/>
        <v>105780</v>
      </c>
      <c r="I133" s="364">
        <f t="shared" si="17"/>
        <v>16540</v>
      </c>
      <c r="J133" s="364">
        <f t="shared" si="15"/>
        <v>344.58333333333331</v>
      </c>
      <c r="K133" s="364">
        <f t="shared" si="12"/>
        <v>87032.083333333343</v>
      </c>
      <c r="L133" s="365">
        <f t="shared" si="14"/>
        <v>99.260572248649211</v>
      </c>
      <c r="M133" s="366">
        <f t="shared" si="13"/>
        <v>106.9463929138293</v>
      </c>
    </row>
    <row r="134" spans="2:13" ht="12" hidden="1" customHeight="1">
      <c r="B134" s="104" t="s">
        <v>233</v>
      </c>
      <c r="C134" s="264" t="s">
        <v>234</v>
      </c>
      <c r="D134" s="346">
        <v>432100</v>
      </c>
      <c r="E134" s="352">
        <f t="shared" si="16"/>
        <v>436350</v>
      </c>
      <c r="F134" s="353">
        <f t="shared" si="9"/>
        <v>87270</v>
      </c>
      <c r="G134" s="349">
        <v>1843</v>
      </c>
      <c r="H134" s="349">
        <f t="shared" si="10"/>
        <v>110580</v>
      </c>
      <c r="I134" s="354">
        <f t="shared" si="17"/>
        <v>19040</v>
      </c>
      <c r="J134" s="354">
        <f t="shared" si="15"/>
        <v>396.66666666666669</v>
      </c>
      <c r="K134" s="354">
        <f t="shared" si="12"/>
        <v>86873.333333333328</v>
      </c>
      <c r="L134" s="355">
        <f t="shared" si="14"/>
        <v>98.875594569088548</v>
      </c>
      <c r="M134" s="356">
        <f t="shared" si="13"/>
        <v>106.75131841687573</v>
      </c>
    </row>
    <row r="135" spans="2:13" ht="12" hidden="1" customHeight="1">
      <c r="B135" s="103" t="s">
        <v>198</v>
      </c>
      <c r="C135" s="262" t="s">
        <v>198</v>
      </c>
      <c r="D135" s="346">
        <v>450200</v>
      </c>
      <c r="E135" s="352">
        <f t="shared" si="16"/>
        <v>436037.5</v>
      </c>
      <c r="F135" s="353">
        <f t="shared" si="9"/>
        <v>87207.5</v>
      </c>
      <c r="G135" s="349">
        <v>1877</v>
      </c>
      <c r="H135" s="349">
        <f t="shared" si="10"/>
        <v>112620</v>
      </c>
      <c r="I135" s="354">
        <f t="shared" si="17"/>
        <v>19580</v>
      </c>
      <c r="J135" s="354">
        <f t="shared" si="15"/>
        <v>407.91666666666669</v>
      </c>
      <c r="K135" s="354">
        <f t="shared" si="12"/>
        <v>86799.583333333328</v>
      </c>
      <c r="L135" s="355">
        <f t="shared" si="14"/>
        <v>98.952143450896571</v>
      </c>
      <c r="M135" s="356">
        <f t="shared" si="13"/>
        <v>106.66069325687369</v>
      </c>
    </row>
    <row r="136" spans="2:13" ht="12" hidden="1" customHeight="1">
      <c r="B136" s="103" t="s">
        <v>219</v>
      </c>
      <c r="C136" s="262" t="s">
        <v>219</v>
      </c>
      <c r="D136" s="346">
        <v>463100</v>
      </c>
      <c r="E136" s="352">
        <f t="shared" si="16"/>
        <v>435850</v>
      </c>
      <c r="F136" s="353">
        <f t="shared" si="9"/>
        <v>87170</v>
      </c>
      <c r="G136" s="349">
        <v>1896</v>
      </c>
      <c r="H136" s="349">
        <f t="shared" si="10"/>
        <v>113760</v>
      </c>
      <c r="I136" s="354">
        <f t="shared" si="17"/>
        <v>19340</v>
      </c>
      <c r="J136" s="354">
        <f t="shared" si="15"/>
        <v>402.91666666666669</v>
      </c>
      <c r="K136" s="354">
        <f t="shared" si="12"/>
        <v>86767.083333333328</v>
      </c>
      <c r="L136" s="355">
        <f t="shared" si="14"/>
        <v>99.028456753723518</v>
      </c>
      <c r="M136" s="356">
        <f t="shared" si="13"/>
        <v>106.62075674568634</v>
      </c>
    </row>
    <row r="137" spans="2:13" ht="12" hidden="1" customHeight="1">
      <c r="B137" s="103" t="s">
        <v>200</v>
      </c>
      <c r="C137" s="262" t="s">
        <v>200</v>
      </c>
      <c r="D137" s="346">
        <v>468000</v>
      </c>
      <c r="E137" s="352">
        <f t="shared" si="16"/>
        <v>435670.83333333331</v>
      </c>
      <c r="F137" s="353">
        <f t="shared" si="9"/>
        <v>87134.166666666672</v>
      </c>
      <c r="G137" s="349">
        <v>1964</v>
      </c>
      <c r="H137" s="349">
        <f t="shared" si="10"/>
        <v>117840</v>
      </c>
      <c r="I137" s="354">
        <f t="shared" si="17"/>
        <v>22520</v>
      </c>
      <c r="J137" s="354">
        <f t="shared" si="15"/>
        <v>469.16666666666669</v>
      </c>
      <c r="K137" s="354">
        <f t="shared" si="12"/>
        <v>86665</v>
      </c>
      <c r="L137" s="355">
        <f t="shared" si="14"/>
        <v>98.991975784574095</v>
      </c>
      <c r="M137" s="356">
        <f t="shared" si="13"/>
        <v>106.49531514003378</v>
      </c>
    </row>
    <row r="138" spans="2:13" ht="12" hidden="1" customHeight="1">
      <c r="B138" s="103" t="s">
        <v>220</v>
      </c>
      <c r="C138" s="262" t="s">
        <v>220</v>
      </c>
      <c r="D138" s="346">
        <v>455000</v>
      </c>
      <c r="E138" s="352">
        <f t="shared" si="16"/>
        <v>435372.91666666669</v>
      </c>
      <c r="F138" s="353">
        <f t="shared" si="9"/>
        <v>87074.583333333343</v>
      </c>
      <c r="G138" s="349">
        <v>1954</v>
      </c>
      <c r="H138" s="349">
        <f t="shared" si="10"/>
        <v>117240</v>
      </c>
      <c r="I138" s="354">
        <f t="shared" si="17"/>
        <v>23380</v>
      </c>
      <c r="J138" s="354">
        <f t="shared" si="15"/>
        <v>487.08333333333331</v>
      </c>
      <c r="K138" s="354">
        <f t="shared" si="12"/>
        <v>86587.500000000015</v>
      </c>
      <c r="L138" s="355">
        <f t="shared" si="14"/>
        <v>99.006174486412334</v>
      </c>
      <c r="M138" s="356">
        <f t="shared" si="13"/>
        <v>106.4000819210486</v>
      </c>
    </row>
    <row r="139" spans="2:13" ht="12" hidden="1" customHeight="1">
      <c r="B139" s="103" t="s">
        <v>221</v>
      </c>
      <c r="C139" s="262" t="s">
        <v>221</v>
      </c>
      <c r="D139" s="346">
        <v>470200</v>
      </c>
      <c r="E139" s="352">
        <f t="shared" si="16"/>
        <v>435604.16666666669</v>
      </c>
      <c r="F139" s="353">
        <f t="shared" si="9"/>
        <v>87120.833333333343</v>
      </c>
      <c r="G139" s="349">
        <v>2050</v>
      </c>
      <c r="H139" s="349">
        <f t="shared" si="10"/>
        <v>123000</v>
      </c>
      <c r="I139" s="354">
        <f t="shared" si="17"/>
        <v>31180</v>
      </c>
      <c r="J139" s="354">
        <f t="shared" si="15"/>
        <v>649.58333333333337</v>
      </c>
      <c r="K139" s="354">
        <f t="shared" si="12"/>
        <v>86471.250000000015</v>
      </c>
      <c r="L139" s="355">
        <f t="shared" si="14"/>
        <v>99.1467487112848</v>
      </c>
      <c r="M139" s="356">
        <f t="shared" si="13"/>
        <v>106.25723209257079</v>
      </c>
    </row>
    <row r="140" spans="2:13" ht="12" hidden="1" customHeight="1">
      <c r="B140" s="103" t="s">
        <v>203</v>
      </c>
      <c r="C140" s="262" t="s">
        <v>203</v>
      </c>
      <c r="D140" s="346">
        <v>469200</v>
      </c>
      <c r="E140" s="352">
        <f t="shared" si="16"/>
        <v>435883.33333333331</v>
      </c>
      <c r="F140" s="353">
        <f t="shared" si="9"/>
        <v>87176.666666666672</v>
      </c>
      <c r="G140" s="349">
        <v>1972</v>
      </c>
      <c r="H140" s="349">
        <f t="shared" si="10"/>
        <v>118320</v>
      </c>
      <c r="I140" s="354">
        <f t="shared" si="17"/>
        <v>27160</v>
      </c>
      <c r="J140" s="354">
        <f t="shared" si="15"/>
        <v>565.83333333333337</v>
      </c>
      <c r="K140" s="354">
        <f t="shared" si="12"/>
        <v>86610.833333333343</v>
      </c>
      <c r="L140" s="355">
        <f t="shared" si="14"/>
        <v>99.555065973802058</v>
      </c>
      <c r="M140" s="356">
        <f t="shared" si="13"/>
        <v>106.42875428805489</v>
      </c>
    </row>
    <row r="141" spans="2:13" ht="12" hidden="1" customHeight="1">
      <c r="B141" s="103" t="s">
        <v>204</v>
      </c>
      <c r="C141" s="262" t="s">
        <v>204</v>
      </c>
      <c r="D141" s="346">
        <v>457700</v>
      </c>
      <c r="E141" s="352">
        <f t="shared" si="16"/>
        <v>435843.75</v>
      </c>
      <c r="F141" s="353">
        <f t="shared" si="9"/>
        <v>87168.75</v>
      </c>
      <c r="G141" s="349">
        <v>1681</v>
      </c>
      <c r="H141" s="349">
        <f t="shared" si="10"/>
        <v>100860</v>
      </c>
      <c r="I141" s="354">
        <f t="shared" si="17"/>
        <v>8940</v>
      </c>
      <c r="J141" s="354">
        <f t="shared" si="15"/>
        <v>186.25</v>
      </c>
      <c r="K141" s="354">
        <f t="shared" si="12"/>
        <v>86982.5</v>
      </c>
      <c r="L141" s="355">
        <f t="shared" si="14"/>
        <v>99.765828108273439</v>
      </c>
      <c r="M141" s="356">
        <f t="shared" si="13"/>
        <v>106.88546413394091</v>
      </c>
    </row>
    <row r="142" spans="2:13" ht="12" hidden="1" customHeight="1">
      <c r="B142" s="103" t="s">
        <v>224</v>
      </c>
      <c r="C142" s="262" t="s">
        <v>224</v>
      </c>
      <c r="D142" s="346">
        <v>460900</v>
      </c>
      <c r="E142" s="352">
        <f t="shared" si="16"/>
        <v>436004.16666666669</v>
      </c>
      <c r="F142" s="353">
        <f t="shared" si="9"/>
        <v>87200.833333333343</v>
      </c>
      <c r="G142" s="349">
        <v>1810</v>
      </c>
      <c r="H142" s="349">
        <f t="shared" si="10"/>
        <v>108600</v>
      </c>
      <c r="I142" s="354">
        <f t="shared" si="17"/>
        <v>17960</v>
      </c>
      <c r="J142" s="354">
        <f t="shared" si="15"/>
        <v>374.16666666666669</v>
      </c>
      <c r="K142" s="354">
        <f t="shared" si="12"/>
        <v>86826.666666666672</v>
      </c>
      <c r="L142" s="355">
        <f t="shared" si="14"/>
        <v>99.773051546984064</v>
      </c>
      <c r="M142" s="356">
        <f t="shared" si="13"/>
        <v>106.69397368286313</v>
      </c>
    </row>
    <row r="143" spans="2:13" ht="12" hidden="1" customHeight="1">
      <c r="B143" s="103" t="s">
        <v>225</v>
      </c>
      <c r="C143" s="262" t="s">
        <v>225</v>
      </c>
      <c r="D143" s="346">
        <v>456500</v>
      </c>
      <c r="E143" s="352">
        <f t="shared" si="16"/>
        <v>436197.91666666669</v>
      </c>
      <c r="F143" s="353">
        <f t="shared" ref="F143:F204" si="18">E143*0.2</f>
        <v>87239.583333333343</v>
      </c>
      <c r="G143" s="349">
        <v>1576</v>
      </c>
      <c r="H143" s="349">
        <f t="shared" ref="H143:H205" si="19">G143*60</f>
        <v>94560</v>
      </c>
      <c r="I143" s="354">
        <f t="shared" si="17"/>
        <v>5120</v>
      </c>
      <c r="J143" s="354">
        <f t="shared" si="15"/>
        <v>106.66666666666667</v>
      </c>
      <c r="K143" s="354">
        <f t="shared" ref="K143:K205" si="20">F143-J143</f>
        <v>87132.916666666672</v>
      </c>
      <c r="L143" s="355">
        <f t="shared" si="14"/>
        <v>99.997609074042188</v>
      </c>
      <c r="M143" s="356">
        <f t="shared" si="13"/>
        <v>107.07029849982079</v>
      </c>
    </row>
    <row r="144" spans="2:13" ht="12" hidden="1" customHeight="1">
      <c r="B144" s="103" t="s">
        <v>226</v>
      </c>
      <c r="C144" s="262" t="s">
        <v>226</v>
      </c>
      <c r="D144" s="346">
        <v>451400</v>
      </c>
      <c r="E144" s="352">
        <f t="shared" si="16"/>
        <v>436233.33333333331</v>
      </c>
      <c r="F144" s="353">
        <f t="shared" si="18"/>
        <v>87246.666666666672</v>
      </c>
      <c r="G144" s="349">
        <v>1481</v>
      </c>
      <c r="H144" s="349">
        <f t="shared" si="19"/>
        <v>88860</v>
      </c>
      <c r="I144" s="354">
        <f t="shared" si="17"/>
        <v>-1080</v>
      </c>
      <c r="J144" s="354">
        <f t="shared" si="15"/>
        <v>-22.5</v>
      </c>
      <c r="K144" s="354">
        <f t="shared" si="20"/>
        <v>87269.166666666672</v>
      </c>
      <c r="L144" s="355">
        <f t="shared" si="14"/>
        <v>100.30554384889467</v>
      </c>
      <c r="M144" s="356">
        <f t="shared" si="13"/>
        <v>107.23772464287542</v>
      </c>
    </row>
    <row r="145" spans="2:13" ht="12" hidden="1" customHeight="1">
      <c r="B145" s="105" t="s">
        <v>227</v>
      </c>
      <c r="C145" s="263" t="s">
        <v>227</v>
      </c>
      <c r="D145" s="346">
        <v>450900</v>
      </c>
      <c r="E145" s="352">
        <f t="shared" si="16"/>
        <v>436281.25</v>
      </c>
      <c r="F145" s="353">
        <f t="shared" si="18"/>
        <v>87256.25</v>
      </c>
      <c r="G145" s="349">
        <v>1394</v>
      </c>
      <c r="H145" s="349">
        <f t="shared" si="19"/>
        <v>83640</v>
      </c>
      <c r="I145" s="354">
        <f t="shared" si="17"/>
        <v>-6080</v>
      </c>
      <c r="J145" s="354">
        <f t="shared" si="15"/>
        <v>-126.66666666666667</v>
      </c>
      <c r="K145" s="354">
        <f t="shared" si="20"/>
        <v>87382.916666666672</v>
      </c>
      <c r="L145" s="355">
        <f t="shared" si="14"/>
        <v>100.40310804923472</v>
      </c>
      <c r="M145" s="356">
        <f t="shared" si="13"/>
        <v>107.37750243203112</v>
      </c>
    </row>
    <row r="146" spans="2:13" ht="12" hidden="1" customHeight="1">
      <c r="B146" s="104" t="s">
        <v>236</v>
      </c>
      <c r="C146" s="264" t="s">
        <v>382</v>
      </c>
      <c r="D146" s="301">
        <v>447000</v>
      </c>
      <c r="E146" s="309">
        <f t="shared" si="16"/>
        <v>436093.75</v>
      </c>
      <c r="F146" s="303">
        <f t="shared" si="18"/>
        <v>87218.75</v>
      </c>
      <c r="G146" s="302">
        <v>1499</v>
      </c>
      <c r="H146" s="302">
        <f t="shared" si="19"/>
        <v>89940</v>
      </c>
      <c r="I146" s="239">
        <f t="shared" si="17"/>
        <v>-1260</v>
      </c>
      <c r="J146" s="239">
        <f t="shared" si="15"/>
        <v>-26.25</v>
      </c>
      <c r="K146" s="239">
        <f t="shared" si="20"/>
        <v>87245</v>
      </c>
      <c r="L146" s="178">
        <f t="shared" si="14"/>
        <v>100.42782595349551</v>
      </c>
      <c r="M146" s="304">
        <f t="shared" si="13"/>
        <v>107.20802826276177</v>
      </c>
    </row>
    <row r="147" spans="2:13" ht="12" hidden="1" customHeight="1">
      <c r="B147" s="103" t="s">
        <v>198</v>
      </c>
      <c r="C147" s="262" t="s">
        <v>198</v>
      </c>
      <c r="D147" s="290">
        <v>443500</v>
      </c>
      <c r="E147" s="291">
        <f t="shared" si="16"/>
        <v>435820.83333333331</v>
      </c>
      <c r="F147" s="292">
        <f t="shared" si="18"/>
        <v>87164.166666666672</v>
      </c>
      <c r="G147" s="293">
        <v>1604</v>
      </c>
      <c r="H147" s="293">
        <f t="shared" si="19"/>
        <v>96240</v>
      </c>
      <c r="I147" s="233">
        <f t="shared" si="17"/>
        <v>4920</v>
      </c>
      <c r="J147" s="233">
        <f t="shared" si="15"/>
        <v>102.5</v>
      </c>
      <c r="K147" s="233">
        <f t="shared" si="20"/>
        <v>87061.666666666672</v>
      </c>
      <c r="L147" s="175">
        <f t="shared" si="14"/>
        <v>100.30194077352523</v>
      </c>
      <c r="M147" s="294">
        <f t="shared" si="13"/>
        <v>106.98274537914085</v>
      </c>
    </row>
    <row r="148" spans="2:13" ht="12" hidden="1" customHeight="1">
      <c r="B148" s="103" t="s">
        <v>219</v>
      </c>
      <c r="C148" s="262" t="s">
        <v>219</v>
      </c>
      <c r="D148" s="290">
        <v>428500</v>
      </c>
      <c r="E148" s="291">
        <f t="shared" si="16"/>
        <v>435372.91666666669</v>
      </c>
      <c r="F148" s="292">
        <f t="shared" si="18"/>
        <v>87074.583333333343</v>
      </c>
      <c r="G148" s="293">
        <v>1674</v>
      </c>
      <c r="H148" s="293">
        <f t="shared" si="19"/>
        <v>100440</v>
      </c>
      <c r="I148" s="233">
        <f t="shared" si="17"/>
        <v>10440</v>
      </c>
      <c r="J148" s="233">
        <f t="shared" si="15"/>
        <v>217.5</v>
      </c>
      <c r="K148" s="233">
        <f t="shared" si="20"/>
        <v>86857.083333333343</v>
      </c>
      <c r="L148" s="175">
        <f t="shared" si="14"/>
        <v>100.10372597135051</v>
      </c>
      <c r="M148" s="294">
        <f t="shared" si="13"/>
        <v>106.73135016128208</v>
      </c>
    </row>
    <row r="149" spans="2:13" ht="12" hidden="1" customHeight="1">
      <c r="B149" s="103" t="s">
        <v>200</v>
      </c>
      <c r="C149" s="262" t="s">
        <v>200</v>
      </c>
      <c r="D149" s="290">
        <v>437000</v>
      </c>
      <c r="E149" s="291">
        <f t="shared" si="16"/>
        <v>435129.16666666669</v>
      </c>
      <c r="F149" s="292">
        <f t="shared" si="18"/>
        <v>87025.833333333343</v>
      </c>
      <c r="G149" s="293">
        <v>1524</v>
      </c>
      <c r="H149" s="293">
        <f t="shared" si="19"/>
        <v>91440</v>
      </c>
      <c r="I149" s="233">
        <f t="shared" si="17"/>
        <v>1700</v>
      </c>
      <c r="J149" s="233">
        <f t="shared" si="15"/>
        <v>35.416666666666664</v>
      </c>
      <c r="K149" s="233">
        <f t="shared" si="20"/>
        <v>86990.416666666672</v>
      </c>
      <c r="L149" s="175">
        <f t="shared" si="14"/>
        <v>100.37548799015366</v>
      </c>
      <c r="M149" s="294">
        <f t="shared" si="13"/>
        <v>106.89519225846091</v>
      </c>
    </row>
    <row r="150" spans="2:13" ht="12" hidden="1" customHeight="1">
      <c r="B150" s="103" t="s">
        <v>220</v>
      </c>
      <c r="C150" s="262" t="s">
        <v>220</v>
      </c>
      <c r="D150" s="290">
        <v>433800</v>
      </c>
      <c r="E150" s="291">
        <f t="shared" si="16"/>
        <v>434943.75</v>
      </c>
      <c r="F150" s="292">
        <f t="shared" si="18"/>
        <v>86988.75</v>
      </c>
      <c r="G150" s="293">
        <v>1577</v>
      </c>
      <c r="H150" s="293">
        <f t="shared" si="19"/>
        <v>94620</v>
      </c>
      <c r="I150" s="233">
        <f t="shared" si="17"/>
        <v>6080</v>
      </c>
      <c r="J150" s="233">
        <f t="shared" si="15"/>
        <v>126.66666666666667</v>
      </c>
      <c r="K150" s="233">
        <f t="shared" si="20"/>
        <v>86862.083333333328</v>
      </c>
      <c r="L150" s="175">
        <f t="shared" si="14"/>
        <v>100.31711659689138</v>
      </c>
      <c r="M150" s="294">
        <f t="shared" ref="M150:M205" si="21">K150/$K$85*100</f>
        <v>106.73749423992626</v>
      </c>
    </row>
    <row r="151" spans="2:13" ht="12" hidden="1" customHeight="1">
      <c r="B151" s="103" t="s">
        <v>221</v>
      </c>
      <c r="C151" s="262" t="s">
        <v>221</v>
      </c>
      <c r="D151" s="290">
        <v>446500</v>
      </c>
      <c r="E151" s="291">
        <f t="shared" si="16"/>
        <v>435352.08333333331</v>
      </c>
      <c r="F151" s="292">
        <f t="shared" si="18"/>
        <v>87070.416666666672</v>
      </c>
      <c r="G151" s="293">
        <v>1590</v>
      </c>
      <c r="H151" s="293">
        <f t="shared" si="19"/>
        <v>95400</v>
      </c>
      <c r="I151" s="233">
        <f t="shared" si="17"/>
        <v>10020</v>
      </c>
      <c r="J151" s="233">
        <f t="shared" si="15"/>
        <v>208.75</v>
      </c>
      <c r="K151" s="233">
        <f t="shared" si="20"/>
        <v>86861.666666666672</v>
      </c>
      <c r="L151" s="175">
        <f t="shared" si="14"/>
        <v>100.45149881222564</v>
      </c>
      <c r="M151" s="294">
        <f t="shared" si="21"/>
        <v>106.73698223337257</v>
      </c>
    </row>
    <row r="152" spans="2:13" ht="12" hidden="1" customHeight="1">
      <c r="B152" s="103" t="s">
        <v>203</v>
      </c>
      <c r="C152" s="262" t="s">
        <v>203</v>
      </c>
      <c r="D152" s="290">
        <v>430500</v>
      </c>
      <c r="E152" s="291">
        <f t="shared" si="16"/>
        <v>435508.33333333331</v>
      </c>
      <c r="F152" s="292">
        <f t="shared" si="18"/>
        <v>87101.666666666672</v>
      </c>
      <c r="G152" s="293">
        <v>1611</v>
      </c>
      <c r="H152" s="293">
        <f t="shared" si="19"/>
        <v>96660</v>
      </c>
      <c r="I152" s="233">
        <f t="shared" si="17"/>
        <v>12060</v>
      </c>
      <c r="J152" s="233">
        <f t="shared" si="15"/>
        <v>251.25</v>
      </c>
      <c r="K152" s="233">
        <f t="shared" si="20"/>
        <v>86850.416666666672</v>
      </c>
      <c r="L152" s="175">
        <f t="shared" si="14"/>
        <v>100.27662051513954</v>
      </c>
      <c r="M152" s="294">
        <f t="shared" si="21"/>
        <v>106.72315805642312</v>
      </c>
    </row>
    <row r="153" spans="2:13" ht="12" hidden="1" customHeight="1">
      <c r="B153" s="103" t="s">
        <v>204</v>
      </c>
      <c r="C153" s="262" t="s">
        <v>204</v>
      </c>
      <c r="D153" s="290">
        <v>428200</v>
      </c>
      <c r="E153" s="291">
        <f t="shared" si="16"/>
        <v>435672.91666666669</v>
      </c>
      <c r="F153" s="292">
        <f t="shared" si="18"/>
        <v>87134.583333333343</v>
      </c>
      <c r="G153" s="293">
        <v>1418</v>
      </c>
      <c r="H153" s="293">
        <f t="shared" si="19"/>
        <v>85080</v>
      </c>
      <c r="I153" s="233">
        <f t="shared" si="17"/>
        <v>1020</v>
      </c>
      <c r="J153" s="233">
        <f t="shared" si="15"/>
        <v>21.25</v>
      </c>
      <c r="K153" s="233">
        <f t="shared" si="20"/>
        <v>87113.333333333343</v>
      </c>
      <c r="L153" s="175">
        <f t="shared" si="14"/>
        <v>100.15041339733088</v>
      </c>
      <c r="M153" s="294">
        <f t="shared" si="21"/>
        <v>107.04623419179767</v>
      </c>
    </row>
    <row r="154" spans="2:13" ht="12" hidden="1" customHeight="1">
      <c r="B154" s="103" t="s">
        <v>224</v>
      </c>
      <c r="C154" s="262" t="s">
        <v>224</v>
      </c>
      <c r="D154" s="290">
        <v>439100</v>
      </c>
      <c r="E154" s="291">
        <f t="shared" si="16"/>
        <v>436039.58333333331</v>
      </c>
      <c r="F154" s="292">
        <f t="shared" si="18"/>
        <v>87207.916666666672</v>
      </c>
      <c r="G154" s="293">
        <v>1678</v>
      </c>
      <c r="H154" s="293">
        <f t="shared" si="19"/>
        <v>100680</v>
      </c>
      <c r="I154" s="233">
        <f t="shared" si="17"/>
        <v>16380</v>
      </c>
      <c r="J154" s="233">
        <f t="shared" si="15"/>
        <v>341.25</v>
      </c>
      <c r="K154" s="233">
        <f t="shared" si="20"/>
        <v>86866.666666666672</v>
      </c>
      <c r="L154" s="175">
        <f t="shared" si="14"/>
        <v>100.04606879606879</v>
      </c>
      <c r="M154" s="294">
        <f t="shared" si="21"/>
        <v>106.74312631201678</v>
      </c>
    </row>
    <row r="155" spans="2:13" ht="12" hidden="1" customHeight="1">
      <c r="B155" s="103" t="s">
        <v>225</v>
      </c>
      <c r="C155" s="262" t="s">
        <v>225</v>
      </c>
      <c r="D155" s="290">
        <v>428600</v>
      </c>
      <c r="E155" s="291">
        <f t="shared" si="16"/>
        <v>436204.16666666669</v>
      </c>
      <c r="F155" s="292">
        <f t="shared" si="18"/>
        <v>87240.833333333343</v>
      </c>
      <c r="G155" s="293">
        <v>1469</v>
      </c>
      <c r="H155" s="293">
        <f t="shared" si="19"/>
        <v>88140</v>
      </c>
      <c r="I155" s="233">
        <f t="shared" si="17"/>
        <v>4000</v>
      </c>
      <c r="J155" s="233">
        <f t="shared" si="15"/>
        <v>83.333333333333329</v>
      </c>
      <c r="K155" s="233">
        <f t="shared" si="20"/>
        <v>87157.500000000015</v>
      </c>
      <c r="L155" s="175">
        <f t="shared" ref="L155:L205" si="22">K155/K143*100</f>
        <v>100.02821360086843</v>
      </c>
      <c r="M155" s="294">
        <f t="shared" si="21"/>
        <v>107.10050688648816</v>
      </c>
    </row>
    <row r="156" spans="2:13" ht="12" hidden="1" customHeight="1">
      <c r="B156" s="103" t="s">
        <v>226</v>
      </c>
      <c r="C156" s="262" t="s">
        <v>226</v>
      </c>
      <c r="D156" s="290">
        <v>460400</v>
      </c>
      <c r="E156" s="291">
        <f t="shared" si="16"/>
        <v>437041.66666666669</v>
      </c>
      <c r="F156" s="292">
        <f t="shared" si="18"/>
        <v>87408.333333333343</v>
      </c>
      <c r="G156" s="293">
        <v>1549</v>
      </c>
      <c r="H156" s="293">
        <f t="shared" si="19"/>
        <v>92940</v>
      </c>
      <c r="I156" s="233">
        <f t="shared" si="17"/>
        <v>8900</v>
      </c>
      <c r="J156" s="233">
        <f t="shared" si="15"/>
        <v>185.41666666666666</v>
      </c>
      <c r="K156" s="233">
        <f t="shared" si="20"/>
        <v>87222.916666666672</v>
      </c>
      <c r="L156" s="175">
        <f t="shared" si="22"/>
        <v>99.947003046131215</v>
      </c>
      <c r="M156" s="294">
        <f t="shared" si="21"/>
        <v>107.18089191541651</v>
      </c>
    </row>
    <row r="157" spans="2:13" ht="12" hidden="1" customHeight="1">
      <c r="B157" s="105" t="s">
        <v>227</v>
      </c>
      <c r="C157" s="263" t="s">
        <v>227</v>
      </c>
      <c r="D157" s="305">
        <v>462700</v>
      </c>
      <c r="E157" s="310">
        <f t="shared" si="16"/>
        <v>437627.08333333331</v>
      </c>
      <c r="F157" s="307">
        <f t="shared" si="18"/>
        <v>87525.416666666672</v>
      </c>
      <c r="G157" s="306">
        <v>1507</v>
      </c>
      <c r="H157" s="306">
        <f t="shared" si="19"/>
        <v>90420</v>
      </c>
      <c r="I157" s="235">
        <f t="shared" si="17"/>
        <v>3500</v>
      </c>
      <c r="J157" s="235">
        <f t="shared" si="15"/>
        <v>72.916666666666671</v>
      </c>
      <c r="K157" s="235">
        <f t="shared" si="20"/>
        <v>87452.5</v>
      </c>
      <c r="L157" s="182">
        <f t="shared" si="22"/>
        <v>100.07963036253271</v>
      </c>
      <c r="M157" s="308">
        <f t="shared" si="21"/>
        <v>107.46300752649634</v>
      </c>
    </row>
    <row r="158" spans="2:13" ht="12" hidden="1" customHeight="1">
      <c r="B158" s="104" t="s">
        <v>238</v>
      </c>
      <c r="C158" s="264" t="s">
        <v>239</v>
      </c>
      <c r="D158" s="290">
        <v>472800</v>
      </c>
      <c r="E158" s="291">
        <f t="shared" si="16"/>
        <v>438362.5</v>
      </c>
      <c r="F158" s="292">
        <f t="shared" si="18"/>
        <v>87672.5</v>
      </c>
      <c r="G158" s="293">
        <v>1468</v>
      </c>
      <c r="H158" s="293">
        <f t="shared" si="19"/>
        <v>88080</v>
      </c>
      <c r="I158" s="233">
        <f t="shared" si="17"/>
        <v>580</v>
      </c>
      <c r="J158" s="233">
        <f t="shared" si="15"/>
        <v>12.083333333333334</v>
      </c>
      <c r="K158" s="233">
        <f t="shared" si="20"/>
        <v>87660.416666666672</v>
      </c>
      <c r="L158" s="175">
        <f t="shared" si="22"/>
        <v>100.47614954056586</v>
      </c>
      <c r="M158" s="294">
        <f t="shared" si="21"/>
        <v>107.71849879678459</v>
      </c>
    </row>
    <row r="159" spans="2:13" ht="12" hidden="1" customHeight="1">
      <c r="B159" s="103" t="s">
        <v>198</v>
      </c>
      <c r="C159" s="262" t="s">
        <v>198</v>
      </c>
      <c r="D159" s="290">
        <v>510400</v>
      </c>
      <c r="E159" s="291">
        <f t="shared" si="16"/>
        <v>439914.58333333331</v>
      </c>
      <c r="F159" s="292">
        <f t="shared" si="18"/>
        <v>87982.916666666672</v>
      </c>
      <c r="G159" s="293">
        <v>1682</v>
      </c>
      <c r="H159" s="293">
        <f t="shared" si="19"/>
        <v>100920</v>
      </c>
      <c r="I159" s="233">
        <f t="shared" si="17"/>
        <v>13740</v>
      </c>
      <c r="J159" s="233">
        <f t="shared" si="15"/>
        <v>286.25</v>
      </c>
      <c r="K159" s="233">
        <f t="shared" si="20"/>
        <v>87696.666666666672</v>
      </c>
      <c r="L159" s="175">
        <f t="shared" si="22"/>
        <v>100.72936807243909</v>
      </c>
      <c r="M159" s="294">
        <f t="shared" si="21"/>
        <v>107.7630433669551</v>
      </c>
    </row>
    <row r="160" spans="2:13" ht="12" hidden="1" customHeight="1">
      <c r="B160" s="103" t="s">
        <v>219</v>
      </c>
      <c r="C160" s="262" t="s">
        <v>219</v>
      </c>
      <c r="D160" s="290">
        <v>497500</v>
      </c>
      <c r="E160" s="291">
        <f t="shared" si="16"/>
        <v>441083.33333333331</v>
      </c>
      <c r="F160" s="292">
        <f t="shared" si="18"/>
        <v>88216.666666666672</v>
      </c>
      <c r="G160" s="293">
        <v>1663</v>
      </c>
      <c r="H160" s="293">
        <f t="shared" si="19"/>
        <v>99780</v>
      </c>
      <c r="I160" s="233">
        <f t="shared" si="17"/>
        <v>11500</v>
      </c>
      <c r="J160" s="233">
        <f t="shared" si="15"/>
        <v>239.58333333333334</v>
      </c>
      <c r="K160" s="233">
        <f t="shared" si="20"/>
        <v>87977.083333333343</v>
      </c>
      <c r="L160" s="175">
        <f t="shared" si="22"/>
        <v>101.28947456789649</v>
      </c>
      <c r="M160" s="294">
        <f t="shared" si="21"/>
        <v>108.10762377758437</v>
      </c>
    </row>
    <row r="161" spans="2:13" ht="12" hidden="1" customHeight="1">
      <c r="B161" s="103" t="s">
        <v>200</v>
      </c>
      <c r="C161" s="262" t="s">
        <v>200</v>
      </c>
      <c r="D161" s="290">
        <v>484900</v>
      </c>
      <c r="E161" s="291">
        <f t="shared" si="16"/>
        <v>442260.41666666669</v>
      </c>
      <c r="F161" s="292">
        <f t="shared" si="18"/>
        <v>88452.083333333343</v>
      </c>
      <c r="G161" s="293">
        <v>1968</v>
      </c>
      <c r="H161" s="293">
        <f t="shared" si="19"/>
        <v>118080</v>
      </c>
      <c r="I161" s="233">
        <f t="shared" si="17"/>
        <v>32400</v>
      </c>
      <c r="J161" s="233">
        <f t="shared" si="15"/>
        <v>675</v>
      </c>
      <c r="K161" s="233">
        <f t="shared" si="20"/>
        <v>87777.083333333343</v>
      </c>
      <c r="L161" s="175">
        <f t="shared" si="22"/>
        <v>100.90431417253818</v>
      </c>
      <c r="M161" s="294">
        <f t="shared" si="21"/>
        <v>107.86186063181609</v>
      </c>
    </row>
    <row r="162" spans="2:13" ht="12" hidden="1" customHeight="1">
      <c r="B162" s="103" t="s">
        <v>220</v>
      </c>
      <c r="C162" s="262" t="s">
        <v>220</v>
      </c>
      <c r="D162" s="290">
        <v>486300</v>
      </c>
      <c r="E162" s="291">
        <f t="shared" si="16"/>
        <v>443468.75</v>
      </c>
      <c r="F162" s="292">
        <f t="shared" si="18"/>
        <v>88693.75</v>
      </c>
      <c r="G162" s="293">
        <v>1855</v>
      </c>
      <c r="H162" s="293">
        <f t="shared" si="19"/>
        <v>111300</v>
      </c>
      <c r="I162" s="233">
        <f t="shared" si="17"/>
        <v>25640</v>
      </c>
      <c r="J162" s="233">
        <f t="shared" si="15"/>
        <v>534.16666666666663</v>
      </c>
      <c r="K162" s="233">
        <f t="shared" si="20"/>
        <v>88159.583333333328</v>
      </c>
      <c r="L162" s="175">
        <f t="shared" si="22"/>
        <v>101.49374727177663</v>
      </c>
      <c r="M162" s="294">
        <f t="shared" si="21"/>
        <v>108.33188264809787</v>
      </c>
    </row>
    <row r="163" spans="2:13" ht="12" hidden="1" customHeight="1">
      <c r="B163" s="103" t="s">
        <v>221</v>
      </c>
      <c r="C163" s="262" t="s">
        <v>221</v>
      </c>
      <c r="D163" s="290">
        <v>463900</v>
      </c>
      <c r="E163" s="291">
        <f t="shared" si="16"/>
        <v>444370.83333333331</v>
      </c>
      <c r="F163" s="292">
        <f t="shared" si="18"/>
        <v>88874.166666666672</v>
      </c>
      <c r="G163" s="293">
        <v>1894</v>
      </c>
      <c r="H163" s="293">
        <f t="shared" si="19"/>
        <v>113640</v>
      </c>
      <c r="I163" s="233">
        <f t="shared" si="17"/>
        <v>29520</v>
      </c>
      <c r="J163" s="233">
        <f t="shared" si="15"/>
        <v>615</v>
      </c>
      <c r="K163" s="233">
        <f t="shared" si="20"/>
        <v>88259.166666666672</v>
      </c>
      <c r="L163" s="175">
        <f t="shared" si="22"/>
        <v>101.60888001995509</v>
      </c>
      <c r="M163" s="294">
        <f t="shared" si="21"/>
        <v>108.45425221442835</v>
      </c>
    </row>
    <row r="164" spans="2:13" ht="12" hidden="1" customHeight="1">
      <c r="B164" s="103" t="s">
        <v>203</v>
      </c>
      <c r="C164" s="262" t="s">
        <v>203</v>
      </c>
      <c r="D164" s="290">
        <v>439400</v>
      </c>
      <c r="E164" s="291">
        <f t="shared" si="16"/>
        <v>444854.16666666669</v>
      </c>
      <c r="F164" s="292">
        <f t="shared" si="18"/>
        <v>88970.833333333343</v>
      </c>
      <c r="G164" s="293">
        <v>1715</v>
      </c>
      <c r="H164" s="293">
        <f t="shared" si="19"/>
        <v>102900</v>
      </c>
      <c r="I164" s="233">
        <f t="shared" si="17"/>
        <v>19660</v>
      </c>
      <c r="J164" s="233">
        <f t="shared" si="15"/>
        <v>409.58333333333331</v>
      </c>
      <c r="K164" s="233">
        <f t="shared" si="20"/>
        <v>88561.250000000015</v>
      </c>
      <c r="L164" s="175">
        <f t="shared" si="22"/>
        <v>101.96986197533116</v>
      </c>
      <c r="M164" s="294">
        <f t="shared" si="21"/>
        <v>108.82545696584917</v>
      </c>
    </row>
    <row r="165" spans="2:13" ht="12" hidden="1" customHeight="1">
      <c r="B165" s="103" t="s">
        <v>204</v>
      </c>
      <c r="C165" s="262" t="s">
        <v>204</v>
      </c>
      <c r="D165" s="290">
        <v>438900</v>
      </c>
      <c r="E165" s="291">
        <f t="shared" si="16"/>
        <v>445302.08333333331</v>
      </c>
      <c r="F165" s="292">
        <f t="shared" si="18"/>
        <v>89060.416666666672</v>
      </c>
      <c r="G165" s="293">
        <v>1796</v>
      </c>
      <c r="H165" s="293">
        <f t="shared" si="19"/>
        <v>107760</v>
      </c>
      <c r="I165" s="233">
        <f t="shared" si="17"/>
        <v>24280</v>
      </c>
      <c r="J165" s="233">
        <f t="shared" si="15"/>
        <v>505.83333333333331</v>
      </c>
      <c r="K165" s="233">
        <f t="shared" si="20"/>
        <v>88554.583333333343</v>
      </c>
      <c r="L165" s="175">
        <f t="shared" si="22"/>
        <v>101.65445396801103</v>
      </c>
      <c r="M165" s="294">
        <f t="shared" si="21"/>
        <v>108.81726486099024</v>
      </c>
    </row>
    <row r="166" spans="2:13" ht="12" hidden="1" customHeight="1">
      <c r="B166" s="103" t="s">
        <v>224</v>
      </c>
      <c r="C166" s="262" t="s">
        <v>224</v>
      </c>
      <c r="D166" s="290">
        <v>422200</v>
      </c>
      <c r="E166" s="291">
        <f t="shared" si="16"/>
        <v>445237.5</v>
      </c>
      <c r="F166" s="292">
        <f t="shared" si="18"/>
        <v>89047.5</v>
      </c>
      <c r="G166" s="293">
        <v>1833</v>
      </c>
      <c r="H166" s="293">
        <f t="shared" si="19"/>
        <v>109980</v>
      </c>
      <c r="I166" s="233">
        <f t="shared" si="17"/>
        <v>24920</v>
      </c>
      <c r="J166" s="233">
        <f t="shared" si="15"/>
        <v>519.16666666666663</v>
      </c>
      <c r="K166" s="233">
        <f t="shared" si="20"/>
        <v>88528.333333333328</v>
      </c>
      <c r="L166" s="175">
        <f t="shared" si="22"/>
        <v>101.91289332310052</v>
      </c>
      <c r="M166" s="294">
        <f t="shared" si="21"/>
        <v>108.78500844810813</v>
      </c>
    </row>
    <row r="167" spans="2:13" ht="12" hidden="1" customHeight="1">
      <c r="B167" s="103" t="s">
        <v>225</v>
      </c>
      <c r="C167" s="262" t="s">
        <v>225</v>
      </c>
      <c r="D167" s="290">
        <v>428200</v>
      </c>
      <c r="E167" s="291">
        <f t="shared" si="16"/>
        <v>445356.25</v>
      </c>
      <c r="F167" s="292">
        <f t="shared" si="18"/>
        <v>89071.25</v>
      </c>
      <c r="G167" s="293">
        <v>1739</v>
      </c>
      <c r="H167" s="293">
        <f t="shared" si="19"/>
        <v>104340</v>
      </c>
      <c r="I167" s="233">
        <f t="shared" si="17"/>
        <v>19840</v>
      </c>
      <c r="J167" s="233">
        <f t="shared" si="15"/>
        <v>413.33333333333331</v>
      </c>
      <c r="K167" s="233">
        <f t="shared" si="20"/>
        <v>88657.916666666672</v>
      </c>
      <c r="L167" s="175">
        <f t="shared" si="22"/>
        <v>101.72150034898506</v>
      </c>
      <c r="M167" s="294">
        <f t="shared" si="21"/>
        <v>108.94424248630384</v>
      </c>
    </row>
    <row r="168" spans="2:13" ht="12" hidden="1" customHeight="1">
      <c r="B168" s="103" t="s">
        <v>226</v>
      </c>
      <c r="C168" s="262" t="s">
        <v>226</v>
      </c>
      <c r="D168" s="290">
        <v>420100</v>
      </c>
      <c r="E168" s="291">
        <f t="shared" si="16"/>
        <v>445354.16666666669</v>
      </c>
      <c r="F168" s="292">
        <f t="shared" si="18"/>
        <v>89070.833333333343</v>
      </c>
      <c r="G168" s="293">
        <v>1494</v>
      </c>
      <c r="H168" s="293">
        <f t="shared" si="19"/>
        <v>89640</v>
      </c>
      <c r="I168" s="233">
        <f t="shared" si="17"/>
        <v>5600</v>
      </c>
      <c r="J168" s="233">
        <f t="shared" si="15"/>
        <v>116.66666666666667</v>
      </c>
      <c r="K168" s="233">
        <f t="shared" si="20"/>
        <v>88954.166666666672</v>
      </c>
      <c r="L168" s="175">
        <f t="shared" si="22"/>
        <v>101.9848568084649</v>
      </c>
      <c r="M168" s="294">
        <f t="shared" si="21"/>
        <v>109.30827914597307</v>
      </c>
    </row>
    <row r="169" spans="2:13" ht="12" hidden="1" customHeight="1">
      <c r="B169" s="105" t="s">
        <v>227</v>
      </c>
      <c r="C169" s="263" t="s">
        <v>227</v>
      </c>
      <c r="D169" s="290">
        <v>421000</v>
      </c>
      <c r="E169" s="291">
        <f t="shared" si="16"/>
        <v>445164.58333333331</v>
      </c>
      <c r="F169" s="292">
        <f t="shared" si="18"/>
        <v>89032.916666666672</v>
      </c>
      <c r="G169" s="293">
        <v>1368</v>
      </c>
      <c r="H169" s="293">
        <f t="shared" si="19"/>
        <v>82080</v>
      </c>
      <c r="I169" s="233">
        <f t="shared" si="17"/>
        <v>-3940</v>
      </c>
      <c r="J169" s="233">
        <f t="shared" si="15"/>
        <v>-82.083333333333329</v>
      </c>
      <c r="K169" s="233">
        <f t="shared" si="20"/>
        <v>89115</v>
      </c>
      <c r="L169" s="175">
        <f t="shared" si="22"/>
        <v>101.90103198879392</v>
      </c>
      <c r="M169" s="294">
        <f t="shared" si="21"/>
        <v>109.50591367569504</v>
      </c>
    </row>
    <row r="170" spans="2:13" ht="12" hidden="1" customHeight="1">
      <c r="B170" s="104" t="s">
        <v>240</v>
      </c>
      <c r="C170" s="264" t="s">
        <v>241</v>
      </c>
      <c r="D170" s="301">
        <v>443300</v>
      </c>
      <c r="E170" s="309">
        <f t="shared" si="16"/>
        <v>445322.91666666669</v>
      </c>
      <c r="F170" s="303">
        <f t="shared" si="18"/>
        <v>89064.583333333343</v>
      </c>
      <c r="G170" s="302">
        <v>1336</v>
      </c>
      <c r="H170" s="302">
        <f t="shared" si="19"/>
        <v>80160</v>
      </c>
      <c r="I170" s="239">
        <f t="shared" si="17"/>
        <v>-6980</v>
      </c>
      <c r="J170" s="239">
        <f t="shared" si="15"/>
        <v>-145.41666666666666</v>
      </c>
      <c r="K170" s="239">
        <f t="shared" si="20"/>
        <v>89210.000000000015</v>
      </c>
      <c r="L170" s="178">
        <f t="shared" si="22"/>
        <v>101.76771157639566</v>
      </c>
      <c r="M170" s="304">
        <f t="shared" si="21"/>
        <v>109.622651169935</v>
      </c>
    </row>
    <row r="171" spans="2:13" ht="12" hidden="1" customHeight="1">
      <c r="B171" s="103" t="s">
        <v>198</v>
      </c>
      <c r="C171" s="262" t="s">
        <v>198</v>
      </c>
      <c r="D171" s="290">
        <v>462300</v>
      </c>
      <c r="E171" s="291">
        <f t="shared" si="16"/>
        <v>445945.83333333331</v>
      </c>
      <c r="F171" s="292">
        <f t="shared" si="18"/>
        <v>89189.166666666672</v>
      </c>
      <c r="G171" s="293">
        <v>1446</v>
      </c>
      <c r="H171" s="293">
        <f t="shared" si="19"/>
        <v>86760</v>
      </c>
      <c r="I171" s="233">
        <f t="shared" si="17"/>
        <v>280</v>
      </c>
      <c r="J171" s="233">
        <f t="shared" si="15"/>
        <v>5.833333333333333</v>
      </c>
      <c r="K171" s="233">
        <f t="shared" si="20"/>
        <v>89183.333333333343</v>
      </c>
      <c r="L171" s="175">
        <f t="shared" si="22"/>
        <v>101.69523737124177</v>
      </c>
      <c r="M171" s="294">
        <f t="shared" si="21"/>
        <v>109.58988275049921</v>
      </c>
    </row>
    <row r="172" spans="2:13" ht="12" hidden="1" customHeight="1">
      <c r="B172" s="103" t="s">
        <v>219</v>
      </c>
      <c r="C172" s="262" t="s">
        <v>219</v>
      </c>
      <c r="D172" s="290">
        <v>464800</v>
      </c>
      <c r="E172" s="291">
        <f t="shared" si="16"/>
        <v>446425</v>
      </c>
      <c r="F172" s="292">
        <f t="shared" si="18"/>
        <v>89285</v>
      </c>
      <c r="G172" s="293">
        <v>1226</v>
      </c>
      <c r="H172" s="293">
        <f t="shared" si="19"/>
        <v>73560</v>
      </c>
      <c r="I172" s="233">
        <f t="shared" si="17"/>
        <v>-14800</v>
      </c>
      <c r="J172" s="233">
        <f t="shared" si="15"/>
        <v>-308.33333333333331</v>
      </c>
      <c r="K172" s="233">
        <f t="shared" si="20"/>
        <v>89593.333333333328</v>
      </c>
      <c r="L172" s="175">
        <f t="shared" si="22"/>
        <v>101.83712614553977</v>
      </c>
      <c r="M172" s="294">
        <f t="shared" si="21"/>
        <v>110.09369719932414</v>
      </c>
    </row>
    <row r="173" spans="2:13" ht="12" hidden="1" customHeight="1">
      <c r="B173" s="103" t="s">
        <v>200</v>
      </c>
      <c r="C173" s="262" t="s">
        <v>200</v>
      </c>
      <c r="D173" s="290">
        <v>466600</v>
      </c>
      <c r="E173" s="291">
        <f t="shared" si="16"/>
        <v>446860.41666666669</v>
      </c>
      <c r="F173" s="292">
        <f t="shared" si="18"/>
        <v>89372.083333333343</v>
      </c>
      <c r="G173" s="293">
        <v>1514</v>
      </c>
      <c r="H173" s="293">
        <f t="shared" si="19"/>
        <v>90840</v>
      </c>
      <c r="I173" s="233">
        <f t="shared" si="17"/>
        <v>1700</v>
      </c>
      <c r="J173" s="233">
        <f t="shared" si="15"/>
        <v>35.416666666666664</v>
      </c>
      <c r="K173" s="233">
        <f t="shared" si="20"/>
        <v>89336.666666666672</v>
      </c>
      <c r="L173" s="175">
        <f t="shared" si="22"/>
        <v>101.77675456293167</v>
      </c>
      <c r="M173" s="294">
        <f t="shared" si="21"/>
        <v>109.77830116225486</v>
      </c>
    </row>
    <row r="174" spans="2:13" ht="12" hidden="1" customHeight="1">
      <c r="B174" s="103" t="s">
        <v>220</v>
      </c>
      <c r="C174" s="262" t="s">
        <v>220</v>
      </c>
      <c r="D174" s="290">
        <v>458000</v>
      </c>
      <c r="E174" s="291">
        <f t="shared" si="16"/>
        <v>447183.33333333331</v>
      </c>
      <c r="F174" s="292">
        <f t="shared" si="18"/>
        <v>89436.666666666672</v>
      </c>
      <c r="G174" s="293">
        <v>1567</v>
      </c>
      <c r="H174" s="293">
        <f t="shared" si="19"/>
        <v>94020</v>
      </c>
      <c r="I174" s="233">
        <f t="shared" si="17"/>
        <v>5520</v>
      </c>
      <c r="J174" s="233">
        <f t="shared" si="15"/>
        <v>115</v>
      </c>
      <c r="K174" s="233">
        <f t="shared" si="20"/>
        <v>89321.666666666672</v>
      </c>
      <c r="L174" s="175">
        <f t="shared" si="22"/>
        <v>101.31815883128607</v>
      </c>
      <c r="M174" s="294">
        <f t="shared" si="21"/>
        <v>109.75986892632226</v>
      </c>
    </row>
    <row r="175" spans="2:13" ht="12" hidden="1" customHeight="1">
      <c r="B175" s="103" t="s">
        <v>221</v>
      </c>
      <c r="C175" s="262" t="s">
        <v>221</v>
      </c>
      <c r="D175" s="290">
        <v>449300</v>
      </c>
      <c r="E175" s="291">
        <f t="shared" si="16"/>
        <v>447670.83333333331</v>
      </c>
      <c r="F175" s="292">
        <f t="shared" si="18"/>
        <v>89534.166666666672</v>
      </c>
      <c r="G175" s="293">
        <v>1818</v>
      </c>
      <c r="H175" s="293">
        <f t="shared" si="19"/>
        <v>109080</v>
      </c>
      <c r="I175" s="233">
        <f t="shared" si="17"/>
        <v>23900</v>
      </c>
      <c r="J175" s="233">
        <f t="shared" si="15"/>
        <v>497.91666666666669</v>
      </c>
      <c r="K175" s="233">
        <f t="shared" si="20"/>
        <v>89036.25</v>
      </c>
      <c r="L175" s="175">
        <f t="shared" si="22"/>
        <v>100.88045623211941</v>
      </c>
      <c r="M175" s="294">
        <f t="shared" si="21"/>
        <v>109.40914443704879</v>
      </c>
    </row>
    <row r="176" spans="2:13" ht="12" hidden="1" customHeight="1">
      <c r="B176" s="103" t="s">
        <v>203</v>
      </c>
      <c r="C176" s="262" t="s">
        <v>203</v>
      </c>
      <c r="D176" s="290">
        <v>422100</v>
      </c>
      <c r="E176" s="291">
        <f t="shared" si="16"/>
        <v>447570.83333333331</v>
      </c>
      <c r="F176" s="292">
        <f t="shared" si="18"/>
        <v>89514.166666666672</v>
      </c>
      <c r="G176" s="293">
        <v>1524</v>
      </c>
      <c r="H176" s="293">
        <f t="shared" si="19"/>
        <v>91440</v>
      </c>
      <c r="I176" s="233">
        <f t="shared" si="17"/>
        <v>6060</v>
      </c>
      <c r="J176" s="233">
        <f t="shared" si="15"/>
        <v>126.25</v>
      </c>
      <c r="K176" s="233">
        <f t="shared" si="20"/>
        <v>89387.916666666672</v>
      </c>
      <c r="L176" s="175">
        <f t="shared" si="22"/>
        <v>100.93344060372529</v>
      </c>
      <c r="M176" s="294">
        <f t="shared" si="21"/>
        <v>109.84127796835799</v>
      </c>
    </row>
    <row r="177" spans="2:13" ht="12" hidden="1" customHeight="1">
      <c r="B177" s="103" t="s">
        <v>204</v>
      </c>
      <c r="C177" s="262" t="s">
        <v>204</v>
      </c>
      <c r="D177" s="290">
        <v>424000</v>
      </c>
      <c r="E177" s="291">
        <f t="shared" si="16"/>
        <v>447664.58333333331</v>
      </c>
      <c r="F177" s="292">
        <f t="shared" si="18"/>
        <v>89532.916666666672</v>
      </c>
      <c r="G177" s="293">
        <v>1545</v>
      </c>
      <c r="H177" s="293">
        <f t="shared" si="19"/>
        <v>92700</v>
      </c>
      <c r="I177" s="233">
        <f t="shared" si="17"/>
        <v>8800</v>
      </c>
      <c r="J177" s="233">
        <f t="shared" si="15"/>
        <v>183.33333333333334</v>
      </c>
      <c r="K177" s="233">
        <f t="shared" si="20"/>
        <v>89349.583333333343</v>
      </c>
      <c r="L177" s="175">
        <f t="shared" si="22"/>
        <v>100.8977513868565</v>
      </c>
      <c r="M177" s="294">
        <f t="shared" si="21"/>
        <v>109.79417336541908</v>
      </c>
    </row>
    <row r="178" spans="2:13" ht="12" hidden="1" customHeight="1">
      <c r="B178" s="103" t="s">
        <v>224</v>
      </c>
      <c r="C178" s="262" t="s">
        <v>224</v>
      </c>
      <c r="D178" s="290">
        <v>427000</v>
      </c>
      <c r="E178" s="291">
        <f t="shared" si="16"/>
        <v>448022.91666666669</v>
      </c>
      <c r="F178" s="292">
        <f t="shared" si="18"/>
        <v>89604.583333333343</v>
      </c>
      <c r="G178" s="293">
        <v>1600</v>
      </c>
      <c r="H178" s="293">
        <f t="shared" si="19"/>
        <v>96000</v>
      </c>
      <c r="I178" s="233">
        <f t="shared" si="17"/>
        <v>14040</v>
      </c>
      <c r="J178" s="233">
        <f t="shared" si="15"/>
        <v>292.5</v>
      </c>
      <c r="K178" s="233">
        <f t="shared" si="20"/>
        <v>89312.083333333343</v>
      </c>
      <c r="L178" s="175">
        <f t="shared" si="22"/>
        <v>100.88530978782688</v>
      </c>
      <c r="M178" s="294">
        <f t="shared" si="21"/>
        <v>109.74809277558752</v>
      </c>
    </row>
    <row r="179" spans="2:13" ht="12" hidden="1" customHeight="1">
      <c r="B179" s="103" t="s">
        <v>225</v>
      </c>
      <c r="C179" s="262" t="s">
        <v>225</v>
      </c>
      <c r="D179" s="290">
        <v>437500</v>
      </c>
      <c r="E179" s="291">
        <f t="shared" si="16"/>
        <v>448829.16666666669</v>
      </c>
      <c r="F179" s="292">
        <f t="shared" si="18"/>
        <v>89765.833333333343</v>
      </c>
      <c r="G179" s="293">
        <v>1519</v>
      </c>
      <c r="H179" s="293">
        <f t="shared" si="19"/>
        <v>91140</v>
      </c>
      <c r="I179" s="233">
        <f t="shared" si="17"/>
        <v>11380</v>
      </c>
      <c r="J179" s="233">
        <f t="shared" si="15"/>
        <v>237.08333333333334</v>
      </c>
      <c r="K179" s="233">
        <f t="shared" si="20"/>
        <v>89528.750000000015</v>
      </c>
      <c r="L179" s="175">
        <f t="shared" si="22"/>
        <v>100.98223978870095</v>
      </c>
      <c r="M179" s="294">
        <f t="shared" si="21"/>
        <v>110.01433618350316</v>
      </c>
    </row>
    <row r="180" spans="2:13" ht="12" hidden="1" customHeight="1">
      <c r="B180" s="103" t="s">
        <v>226</v>
      </c>
      <c r="C180" s="262" t="s">
        <v>226</v>
      </c>
      <c r="D180" s="290">
        <v>431700</v>
      </c>
      <c r="E180" s="291">
        <f t="shared" si="16"/>
        <v>449304.16666666669</v>
      </c>
      <c r="F180" s="292">
        <f t="shared" si="18"/>
        <v>89860.833333333343</v>
      </c>
      <c r="G180" s="293">
        <v>1517</v>
      </c>
      <c r="H180" s="293">
        <f t="shared" si="19"/>
        <v>91020</v>
      </c>
      <c r="I180" s="233">
        <f t="shared" si="17"/>
        <v>9240</v>
      </c>
      <c r="J180" s="233">
        <f t="shared" si="15"/>
        <v>192.5</v>
      </c>
      <c r="K180" s="233">
        <f t="shared" si="20"/>
        <v>89668.333333333343</v>
      </c>
      <c r="L180" s="175">
        <f t="shared" si="22"/>
        <v>100.80284790856714</v>
      </c>
      <c r="M180" s="294">
        <f t="shared" si="21"/>
        <v>110.18585837898726</v>
      </c>
    </row>
    <row r="181" spans="2:13" ht="12" hidden="1" customHeight="1">
      <c r="B181" s="105" t="s">
        <v>227</v>
      </c>
      <c r="C181" s="263" t="s">
        <v>227</v>
      </c>
      <c r="D181" s="305">
        <v>441800</v>
      </c>
      <c r="E181" s="310">
        <f t="shared" si="16"/>
        <v>449687.5</v>
      </c>
      <c r="F181" s="307">
        <f t="shared" si="18"/>
        <v>89937.5</v>
      </c>
      <c r="G181" s="306">
        <v>1641</v>
      </c>
      <c r="H181" s="306">
        <f t="shared" si="19"/>
        <v>98460</v>
      </c>
      <c r="I181" s="235">
        <f t="shared" si="17"/>
        <v>13780</v>
      </c>
      <c r="J181" s="235">
        <f t="shared" si="15"/>
        <v>287.08333333333331</v>
      </c>
      <c r="K181" s="235">
        <f t="shared" si="20"/>
        <v>89650.416666666672</v>
      </c>
      <c r="L181" s="182">
        <f t="shared" si="22"/>
        <v>100.60081542576074</v>
      </c>
      <c r="M181" s="308">
        <f t="shared" si="21"/>
        <v>110.16384209717884</v>
      </c>
    </row>
    <row r="182" spans="2:13" ht="12" hidden="1" customHeight="1">
      <c r="B182" s="104" t="s">
        <v>245</v>
      </c>
      <c r="C182" s="264" t="s">
        <v>246</v>
      </c>
      <c r="D182" s="290">
        <v>457400</v>
      </c>
      <c r="E182" s="291">
        <f t="shared" si="16"/>
        <v>450214.58333333331</v>
      </c>
      <c r="F182" s="292">
        <f t="shared" si="18"/>
        <v>90042.916666666672</v>
      </c>
      <c r="G182" s="293">
        <v>1450</v>
      </c>
      <c r="H182" s="293">
        <f t="shared" si="19"/>
        <v>87000</v>
      </c>
      <c r="I182" s="233">
        <f t="shared" si="17"/>
        <v>580</v>
      </c>
      <c r="J182" s="233">
        <f t="shared" ref="J182:J205" si="23">I182/48</f>
        <v>12.083333333333334</v>
      </c>
      <c r="K182" s="233">
        <f t="shared" si="20"/>
        <v>90030.833333333343</v>
      </c>
      <c r="L182" s="175">
        <f t="shared" si="22"/>
        <v>100.92011358965736</v>
      </c>
      <c r="M182" s="294">
        <f t="shared" si="21"/>
        <v>110.63130408069225</v>
      </c>
    </row>
    <row r="183" spans="2:13" ht="12" hidden="1" customHeight="1">
      <c r="B183" s="103" t="s">
        <v>198</v>
      </c>
      <c r="C183" s="262" t="s">
        <v>198</v>
      </c>
      <c r="D183" s="290">
        <v>466300</v>
      </c>
      <c r="E183" s="291">
        <f t="shared" si="16"/>
        <v>450550</v>
      </c>
      <c r="F183" s="292">
        <f t="shared" si="18"/>
        <v>90110</v>
      </c>
      <c r="G183" s="293">
        <v>1505</v>
      </c>
      <c r="H183" s="293">
        <f t="shared" si="19"/>
        <v>90300</v>
      </c>
      <c r="I183" s="233">
        <f t="shared" si="17"/>
        <v>260</v>
      </c>
      <c r="J183" s="233">
        <f t="shared" si="23"/>
        <v>5.416666666666667</v>
      </c>
      <c r="K183" s="233">
        <f t="shared" si="20"/>
        <v>90104.583333333328</v>
      </c>
      <c r="L183" s="175">
        <f t="shared" si="22"/>
        <v>101.03298448888056</v>
      </c>
      <c r="M183" s="294">
        <f t="shared" si="21"/>
        <v>110.72192924069427</v>
      </c>
    </row>
    <row r="184" spans="2:13" ht="12" hidden="1" customHeight="1">
      <c r="B184" s="103" t="s">
        <v>219</v>
      </c>
      <c r="C184" s="262" t="s">
        <v>219</v>
      </c>
      <c r="D184" s="290">
        <v>466400</v>
      </c>
      <c r="E184" s="291">
        <f t="shared" si="16"/>
        <v>450618.75</v>
      </c>
      <c r="F184" s="292">
        <f t="shared" si="18"/>
        <v>90123.75</v>
      </c>
      <c r="G184" s="293">
        <v>1518</v>
      </c>
      <c r="H184" s="293">
        <f t="shared" si="19"/>
        <v>91080</v>
      </c>
      <c r="I184" s="233">
        <f t="shared" si="17"/>
        <v>-1540</v>
      </c>
      <c r="J184" s="233">
        <f t="shared" si="23"/>
        <v>-32.083333333333336</v>
      </c>
      <c r="K184" s="233">
        <f t="shared" si="20"/>
        <v>90155.833333333328</v>
      </c>
      <c r="L184" s="175">
        <f t="shared" si="22"/>
        <v>100.62783689262594</v>
      </c>
      <c r="M184" s="294">
        <f t="shared" si="21"/>
        <v>110.78490604679739</v>
      </c>
    </row>
    <row r="185" spans="2:13" ht="12" hidden="1" customHeight="1">
      <c r="B185" s="103" t="s">
        <v>200</v>
      </c>
      <c r="C185" s="262" t="s">
        <v>200</v>
      </c>
      <c r="D185" s="290">
        <v>469200</v>
      </c>
      <c r="E185" s="291">
        <f t="shared" si="16"/>
        <v>450643.75</v>
      </c>
      <c r="F185" s="292">
        <f t="shared" si="18"/>
        <v>90128.75</v>
      </c>
      <c r="G185" s="293">
        <v>1576</v>
      </c>
      <c r="H185" s="293">
        <f t="shared" si="19"/>
        <v>94560</v>
      </c>
      <c r="I185" s="233">
        <f t="shared" si="17"/>
        <v>960</v>
      </c>
      <c r="J185" s="233">
        <f t="shared" si="23"/>
        <v>20</v>
      </c>
      <c r="K185" s="233">
        <f t="shared" si="20"/>
        <v>90108.75</v>
      </c>
      <c r="L185" s="175">
        <f t="shared" si="22"/>
        <v>100.86424014029328</v>
      </c>
      <c r="M185" s="294">
        <f t="shared" si="21"/>
        <v>110.72704930623112</v>
      </c>
    </row>
    <row r="186" spans="2:13" ht="12" hidden="1" customHeight="1">
      <c r="B186" s="103" t="s">
        <v>220</v>
      </c>
      <c r="C186" s="262" t="s">
        <v>220</v>
      </c>
      <c r="D186" s="290">
        <v>464000</v>
      </c>
      <c r="E186" s="291">
        <f t="shared" si="16"/>
        <v>450831.25</v>
      </c>
      <c r="F186" s="292">
        <f t="shared" si="18"/>
        <v>90166.25</v>
      </c>
      <c r="G186" s="293">
        <v>2002</v>
      </c>
      <c r="H186" s="293">
        <f t="shared" si="19"/>
        <v>120120</v>
      </c>
      <c r="I186" s="233">
        <f t="shared" si="17"/>
        <v>29120</v>
      </c>
      <c r="J186" s="233">
        <f t="shared" si="23"/>
        <v>606.66666666666663</v>
      </c>
      <c r="K186" s="233">
        <f t="shared" si="20"/>
        <v>89559.583333333328</v>
      </c>
      <c r="L186" s="175">
        <f t="shared" si="22"/>
        <v>100.26635941260984</v>
      </c>
      <c r="M186" s="294">
        <f t="shared" si="21"/>
        <v>110.05222466847574</v>
      </c>
    </row>
    <row r="187" spans="2:13" ht="12" hidden="1" customHeight="1">
      <c r="B187" s="103" t="s">
        <v>221</v>
      </c>
      <c r="C187" s="262" t="s">
        <v>221</v>
      </c>
      <c r="D187" s="290">
        <v>430700</v>
      </c>
      <c r="E187" s="291">
        <f t="shared" si="16"/>
        <v>450008.33333333331</v>
      </c>
      <c r="F187" s="292">
        <f t="shared" si="18"/>
        <v>90001.666666666672</v>
      </c>
      <c r="G187" s="293">
        <v>1925</v>
      </c>
      <c r="H187" s="293">
        <f t="shared" si="19"/>
        <v>115500</v>
      </c>
      <c r="I187" s="233">
        <f t="shared" si="17"/>
        <v>21460</v>
      </c>
      <c r="J187" s="233">
        <f t="shared" si="23"/>
        <v>447.08333333333331</v>
      </c>
      <c r="K187" s="233">
        <f t="shared" si="20"/>
        <v>89554.583333333343</v>
      </c>
      <c r="L187" s="175">
        <f t="shared" si="22"/>
        <v>100.58215988806059</v>
      </c>
      <c r="M187" s="294">
        <f t="shared" si="21"/>
        <v>110.04608058983156</v>
      </c>
    </row>
    <row r="188" spans="2:13" ht="12" hidden="1" customHeight="1">
      <c r="B188" s="103" t="s">
        <v>203</v>
      </c>
      <c r="C188" s="262" t="s">
        <v>203</v>
      </c>
      <c r="D188" s="290">
        <v>425900</v>
      </c>
      <c r="E188" s="291">
        <f t="shared" si="16"/>
        <v>449106.25</v>
      </c>
      <c r="F188" s="292">
        <f t="shared" si="18"/>
        <v>89821.25</v>
      </c>
      <c r="G188" s="293">
        <v>2251</v>
      </c>
      <c r="H188" s="293">
        <f t="shared" si="19"/>
        <v>135060</v>
      </c>
      <c r="I188" s="233">
        <f t="shared" si="17"/>
        <v>41220</v>
      </c>
      <c r="J188" s="233">
        <f t="shared" si="23"/>
        <v>858.75</v>
      </c>
      <c r="K188" s="233">
        <f t="shared" si="20"/>
        <v>88962.5</v>
      </c>
      <c r="L188" s="175">
        <f t="shared" si="22"/>
        <v>99.524078105262177</v>
      </c>
      <c r="M188" s="294">
        <f t="shared" si="21"/>
        <v>109.31851927704675</v>
      </c>
    </row>
    <row r="189" spans="2:13" ht="12" hidden="1" customHeight="1">
      <c r="B189" s="103" t="s">
        <v>204</v>
      </c>
      <c r="C189" s="262" t="s">
        <v>204</v>
      </c>
      <c r="D189" s="290">
        <v>436200</v>
      </c>
      <c r="E189" s="291">
        <f t="shared" si="16"/>
        <v>448658.33333333331</v>
      </c>
      <c r="F189" s="292">
        <f t="shared" si="18"/>
        <v>89731.666666666672</v>
      </c>
      <c r="G189" s="293">
        <v>1964</v>
      </c>
      <c r="H189" s="293">
        <f t="shared" si="19"/>
        <v>117840</v>
      </c>
      <c r="I189" s="233">
        <f t="shared" si="17"/>
        <v>26300</v>
      </c>
      <c r="J189" s="233">
        <f t="shared" si="23"/>
        <v>547.91666666666663</v>
      </c>
      <c r="K189" s="233">
        <f t="shared" si="20"/>
        <v>89183.75</v>
      </c>
      <c r="L189" s="175">
        <f t="shared" si="22"/>
        <v>99.814399432938956</v>
      </c>
      <c r="M189" s="294">
        <f t="shared" si="21"/>
        <v>109.59039475705288</v>
      </c>
    </row>
    <row r="190" spans="2:13" ht="12" hidden="1" customHeight="1">
      <c r="B190" s="103" t="s">
        <v>224</v>
      </c>
      <c r="C190" s="262" t="s">
        <v>224</v>
      </c>
      <c r="D190" s="290">
        <v>438000</v>
      </c>
      <c r="E190" s="291">
        <f t="shared" si="16"/>
        <v>448181.25</v>
      </c>
      <c r="F190" s="292">
        <f t="shared" si="18"/>
        <v>89636.25</v>
      </c>
      <c r="G190" s="293">
        <v>2076</v>
      </c>
      <c r="H190" s="293">
        <f t="shared" si="19"/>
        <v>124560</v>
      </c>
      <c r="I190" s="233">
        <f t="shared" si="17"/>
        <v>32380</v>
      </c>
      <c r="J190" s="233">
        <f t="shared" si="23"/>
        <v>674.58333333333337</v>
      </c>
      <c r="K190" s="233">
        <f t="shared" si="20"/>
        <v>88961.666666666672</v>
      </c>
      <c r="L190" s="175">
        <f t="shared" si="22"/>
        <v>99.607649207600673</v>
      </c>
      <c r="M190" s="294">
        <f t="shared" si="21"/>
        <v>109.31749526393936</v>
      </c>
    </row>
    <row r="191" spans="2:13" ht="12" hidden="1" customHeight="1">
      <c r="B191" s="103" t="s">
        <v>225</v>
      </c>
      <c r="C191" s="262" t="s">
        <v>225</v>
      </c>
      <c r="D191" s="290">
        <v>445300</v>
      </c>
      <c r="E191" s="291">
        <f t="shared" ref="E191:E204" si="24">AVERAGE(D144:D191)</f>
        <v>447947.91666666669</v>
      </c>
      <c r="F191" s="292">
        <f t="shared" si="18"/>
        <v>89589.583333333343</v>
      </c>
      <c r="G191" s="293">
        <v>2106</v>
      </c>
      <c r="H191" s="293">
        <f t="shared" si="19"/>
        <v>126360</v>
      </c>
      <c r="I191" s="233">
        <f t="shared" ref="I191:I205" si="25">H191-D143*0.2</f>
        <v>35060</v>
      </c>
      <c r="J191" s="233">
        <f t="shared" si="23"/>
        <v>730.41666666666663</v>
      </c>
      <c r="K191" s="233">
        <f t="shared" si="20"/>
        <v>88859.166666666672</v>
      </c>
      <c r="L191" s="175">
        <f t="shared" si="22"/>
        <v>99.252102443814593</v>
      </c>
      <c r="M191" s="294">
        <f t="shared" si="21"/>
        <v>109.19154165173315</v>
      </c>
    </row>
    <row r="192" spans="2:13" ht="12" hidden="1" customHeight="1">
      <c r="B192" s="103" t="s">
        <v>226</v>
      </c>
      <c r="C192" s="262" t="s">
        <v>226</v>
      </c>
      <c r="D192" s="290">
        <v>447900</v>
      </c>
      <c r="E192" s="291">
        <f t="shared" si="24"/>
        <v>447875</v>
      </c>
      <c r="F192" s="292">
        <f t="shared" si="18"/>
        <v>89575</v>
      </c>
      <c r="G192" s="293">
        <v>2191</v>
      </c>
      <c r="H192" s="293">
        <f t="shared" si="19"/>
        <v>131460</v>
      </c>
      <c r="I192" s="233">
        <f t="shared" si="25"/>
        <v>41180</v>
      </c>
      <c r="J192" s="233">
        <f t="shared" si="23"/>
        <v>857.91666666666663</v>
      </c>
      <c r="K192" s="233">
        <f t="shared" si="20"/>
        <v>88717.083333333328</v>
      </c>
      <c r="L192" s="175">
        <f t="shared" si="22"/>
        <v>98.939146112525776</v>
      </c>
      <c r="M192" s="294">
        <f t="shared" si="21"/>
        <v>109.01694741692694</v>
      </c>
    </row>
    <row r="193" spans="2:13" ht="12" hidden="1" customHeight="1">
      <c r="B193" s="105" t="s">
        <v>227</v>
      </c>
      <c r="C193" s="263" t="s">
        <v>227</v>
      </c>
      <c r="D193" s="305">
        <v>452400</v>
      </c>
      <c r="E193" s="310">
        <f t="shared" si="24"/>
        <v>447906.25</v>
      </c>
      <c r="F193" s="307">
        <f t="shared" si="18"/>
        <v>89581.25</v>
      </c>
      <c r="G193" s="306">
        <v>2089</v>
      </c>
      <c r="H193" s="306">
        <f t="shared" si="19"/>
        <v>125340</v>
      </c>
      <c r="I193" s="235">
        <f t="shared" si="25"/>
        <v>35160</v>
      </c>
      <c r="J193" s="235">
        <f t="shared" si="23"/>
        <v>732.5</v>
      </c>
      <c r="K193" s="235">
        <f t="shared" si="20"/>
        <v>88848.75</v>
      </c>
      <c r="L193" s="182">
        <f t="shared" si="22"/>
        <v>99.105785899861033</v>
      </c>
      <c r="M193" s="308">
        <f t="shared" si="21"/>
        <v>109.17874148789105</v>
      </c>
    </row>
    <row r="194" spans="2:13" ht="12" hidden="1" customHeight="1">
      <c r="B194" s="258" t="s">
        <v>248</v>
      </c>
      <c r="C194" s="257" t="s">
        <v>249</v>
      </c>
      <c r="D194" s="290">
        <v>463700</v>
      </c>
      <c r="E194" s="291">
        <f t="shared" si="24"/>
        <v>448254.16666666669</v>
      </c>
      <c r="F194" s="292">
        <f t="shared" si="18"/>
        <v>89650.833333333343</v>
      </c>
      <c r="G194" s="293">
        <v>1915</v>
      </c>
      <c r="H194" s="293">
        <f t="shared" si="19"/>
        <v>114900</v>
      </c>
      <c r="I194" s="233">
        <f t="shared" si="25"/>
        <v>25500</v>
      </c>
      <c r="J194" s="233">
        <f t="shared" si="23"/>
        <v>531.25</v>
      </c>
      <c r="K194" s="233">
        <f t="shared" si="20"/>
        <v>89119.583333333343</v>
      </c>
      <c r="L194" s="175">
        <f t="shared" si="22"/>
        <v>98.987846756203894</v>
      </c>
      <c r="M194" s="294">
        <f t="shared" si="21"/>
        <v>109.51154574778559</v>
      </c>
    </row>
    <row r="195" spans="2:13" ht="12" hidden="1" customHeight="1">
      <c r="B195" s="265" t="s">
        <v>147</v>
      </c>
      <c r="C195" s="262" t="s">
        <v>147</v>
      </c>
      <c r="D195" s="290">
        <v>494700</v>
      </c>
      <c r="E195" s="291">
        <f t="shared" si="24"/>
        <v>449320.83333333331</v>
      </c>
      <c r="F195" s="292">
        <f t="shared" si="18"/>
        <v>89864.166666666672</v>
      </c>
      <c r="G195" s="293">
        <v>2270</v>
      </c>
      <c r="H195" s="293">
        <f t="shared" si="19"/>
        <v>136200</v>
      </c>
      <c r="I195" s="233">
        <f t="shared" si="25"/>
        <v>47500</v>
      </c>
      <c r="J195" s="233">
        <f t="shared" si="23"/>
        <v>989.58333333333337</v>
      </c>
      <c r="K195" s="233">
        <f t="shared" si="20"/>
        <v>88874.583333333343</v>
      </c>
      <c r="L195" s="175">
        <f t="shared" si="22"/>
        <v>98.634919607308191</v>
      </c>
      <c r="M195" s="294">
        <f t="shared" si="21"/>
        <v>109.21048589421945</v>
      </c>
    </row>
    <row r="196" spans="2:13" ht="12" hidden="1" customHeight="1">
      <c r="B196" s="265" t="s">
        <v>148</v>
      </c>
      <c r="C196" s="262" t="s">
        <v>148</v>
      </c>
      <c r="D196" s="290">
        <v>483100</v>
      </c>
      <c r="E196" s="291">
        <f t="shared" si="24"/>
        <v>450458.33333333331</v>
      </c>
      <c r="F196" s="292">
        <f t="shared" si="18"/>
        <v>90091.666666666672</v>
      </c>
      <c r="G196" s="293">
        <v>2181</v>
      </c>
      <c r="H196" s="293">
        <f t="shared" si="19"/>
        <v>130860</v>
      </c>
      <c r="I196" s="233">
        <f t="shared" si="25"/>
        <v>45160</v>
      </c>
      <c r="J196" s="233">
        <f t="shared" si="23"/>
        <v>940.83333333333337</v>
      </c>
      <c r="K196" s="233">
        <f t="shared" si="20"/>
        <v>89150.833333333343</v>
      </c>
      <c r="L196" s="175">
        <f t="shared" si="22"/>
        <v>98.885263478976242</v>
      </c>
      <c r="M196" s="294">
        <f t="shared" si="21"/>
        <v>109.54994623931186</v>
      </c>
    </row>
    <row r="197" spans="2:13" ht="12" hidden="1" customHeight="1">
      <c r="B197" s="265" t="s">
        <v>149</v>
      </c>
      <c r="C197" s="262" t="s">
        <v>149</v>
      </c>
      <c r="D197" s="290">
        <v>500800</v>
      </c>
      <c r="E197" s="291">
        <f t="shared" si="24"/>
        <v>451787.5</v>
      </c>
      <c r="F197" s="292">
        <f t="shared" si="18"/>
        <v>90357.5</v>
      </c>
      <c r="G197" s="293">
        <v>2489</v>
      </c>
      <c r="H197" s="293">
        <f t="shared" si="19"/>
        <v>149340</v>
      </c>
      <c r="I197" s="233">
        <f t="shared" si="25"/>
        <v>61940</v>
      </c>
      <c r="J197" s="233">
        <f t="shared" si="23"/>
        <v>1290.4166666666667</v>
      </c>
      <c r="K197" s="233">
        <f t="shared" si="20"/>
        <v>89067.083333333328</v>
      </c>
      <c r="L197" s="175">
        <f t="shared" si="22"/>
        <v>98.843989438687501</v>
      </c>
      <c r="M197" s="294">
        <f t="shared" si="21"/>
        <v>109.44703292202138</v>
      </c>
    </row>
    <row r="198" spans="2:13" ht="12" hidden="1" customHeight="1">
      <c r="B198" s="265" t="s">
        <v>150</v>
      </c>
      <c r="C198" s="262" t="s">
        <v>150</v>
      </c>
      <c r="D198" s="290">
        <v>497700</v>
      </c>
      <c r="E198" s="291">
        <f t="shared" si="24"/>
        <v>453118.75</v>
      </c>
      <c r="F198" s="292">
        <f t="shared" si="18"/>
        <v>90623.75</v>
      </c>
      <c r="G198" s="293">
        <v>2595</v>
      </c>
      <c r="H198" s="293">
        <f t="shared" si="19"/>
        <v>155700</v>
      </c>
      <c r="I198" s="233">
        <f t="shared" si="25"/>
        <v>68940</v>
      </c>
      <c r="J198" s="233">
        <f t="shared" si="23"/>
        <v>1436.25</v>
      </c>
      <c r="K198" s="233">
        <f t="shared" si="20"/>
        <v>89187.5</v>
      </c>
      <c r="L198" s="175">
        <f t="shared" si="22"/>
        <v>99.584541017851251</v>
      </c>
      <c r="M198" s="294">
        <f t="shared" si="21"/>
        <v>109.59500281603604</v>
      </c>
    </row>
    <row r="199" spans="2:13" ht="12" hidden="1" customHeight="1">
      <c r="B199" s="265" t="s">
        <v>151</v>
      </c>
      <c r="C199" s="262" t="s">
        <v>151</v>
      </c>
      <c r="D199" s="290">
        <v>502600</v>
      </c>
      <c r="E199" s="291">
        <f t="shared" si="24"/>
        <v>454287.5</v>
      </c>
      <c r="F199" s="292">
        <f t="shared" si="18"/>
        <v>90857.5</v>
      </c>
      <c r="G199" s="293">
        <v>2785</v>
      </c>
      <c r="H199" s="293">
        <f t="shared" si="19"/>
        <v>167100</v>
      </c>
      <c r="I199" s="233">
        <f t="shared" si="25"/>
        <v>77800</v>
      </c>
      <c r="J199" s="233">
        <f t="shared" si="23"/>
        <v>1620.8333333333333</v>
      </c>
      <c r="K199" s="233">
        <f t="shared" si="20"/>
        <v>89236.666666666672</v>
      </c>
      <c r="L199" s="175">
        <f t="shared" si="22"/>
        <v>99.645002349591266</v>
      </c>
      <c r="M199" s="294">
        <f t="shared" si="21"/>
        <v>109.65541958937075</v>
      </c>
    </row>
    <row r="200" spans="2:13" ht="12" hidden="1" customHeight="1">
      <c r="B200" s="265" t="s">
        <v>152</v>
      </c>
      <c r="C200" s="262" t="s">
        <v>152</v>
      </c>
      <c r="D200" s="290">
        <v>482000</v>
      </c>
      <c r="E200" s="291">
        <f t="shared" si="24"/>
        <v>455360.41666666669</v>
      </c>
      <c r="F200" s="292">
        <f t="shared" si="18"/>
        <v>91072.083333333343</v>
      </c>
      <c r="G200" s="293">
        <v>2883</v>
      </c>
      <c r="H200" s="293">
        <f t="shared" si="19"/>
        <v>172980</v>
      </c>
      <c r="I200" s="233">
        <f t="shared" si="25"/>
        <v>86880</v>
      </c>
      <c r="J200" s="233">
        <f t="shared" si="23"/>
        <v>1810</v>
      </c>
      <c r="K200" s="233">
        <f t="shared" si="20"/>
        <v>89262.083333333343</v>
      </c>
      <c r="L200" s="175">
        <f t="shared" si="22"/>
        <v>100.33675237693787</v>
      </c>
      <c r="M200" s="294">
        <f t="shared" si="21"/>
        <v>109.68665198914547</v>
      </c>
    </row>
    <row r="201" spans="2:13" ht="12" hidden="1" customHeight="1">
      <c r="B201" s="265" t="s">
        <v>153</v>
      </c>
      <c r="C201" s="262" t="s">
        <v>153</v>
      </c>
      <c r="D201" s="290">
        <v>473200</v>
      </c>
      <c r="E201" s="291">
        <f t="shared" si="24"/>
        <v>456297.91666666669</v>
      </c>
      <c r="F201" s="292">
        <f t="shared" si="18"/>
        <v>91259.583333333343</v>
      </c>
      <c r="G201" s="293">
        <v>2695</v>
      </c>
      <c r="H201" s="293">
        <f t="shared" si="19"/>
        <v>161700</v>
      </c>
      <c r="I201" s="233">
        <f t="shared" si="25"/>
        <v>76060</v>
      </c>
      <c r="J201" s="233">
        <f t="shared" si="23"/>
        <v>1584.5833333333333</v>
      </c>
      <c r="K201" s="233">
        <f t="shared" si="20"/>
        <v>89675.000000000015</v>
      </c>
      <c r="L201" s="175">
        <f t="shared" si="22"/>
        <v>100.55082904677144</v>
      </c>
      <c r="M201" s="294">
        <f t="shared" si="21"/>
        <v>110.19405048384621</v>
      </c>
    </row>
    <row r="202" spans="2:13" s="88" customFormat="1" ht="12" hidden="1" customHeight="1">
      <c r="B202" s="265" t="s">
        <v>154</v>
      </c>
      <c r="C202" s="262" t="s">
        <v>154</v>
      </c>
      <c r="D202" s="290">
        <v>479900</v>
      </c>
      <c r="E202" s="291">
        <f t="shared" si="24"/>
        <v>457147.91666666669</v>
      </c>
      <c r="F202" s="292">
        <f t="shared" si="18"/>
        <v>91429.583333333343</v>
      </c>
      <c r="G202" s="293">
        <v>2651</v>
      </c>
      <c r="H202" s="293">
        <f t="shared" si="19"/>
        <v>159060</v>
      </c>
      <c r="I202" s="233">
        <f t="shared" si="25"/>
        <v>71240</v>
      </c>
      <c r="J202" s="233">
        <f t="shared" si="23"/>
        <v>1484.1666666666667</v>
      </c>
      <c r="K202" s="233">
        <f t="shared" si="20"/>
        <v>89945.416666666672</v>
      </c>
      <c r="L202" s="175">
        <f t="shared" si="22"/>
        <v>101.10581336530716</v>
      </c>
      <c r="M202" s="294">
        <f t="shared" si="21"/>
        <v>110.52634273718705</v>
      </c>
    </row>
    <row r="203" spans="2:13" ht="12" hidden="1" customHeight="1">
      <c r="B203" s="265" t="s">
        <v>155</v>
      </c>
      <c r="C203" s="262" t="s">
        <v>155</v>
      </c>
      <c r="D203" s="290">
        <v>465300</v>
      </c>
      <c r="E203" s="291">
        <f t="shared" si="24"/>
        <v>457912.5</v>
      </c>
      <c r="F203" s="292">
        <f t="shared" si="18"/>
        <v>91582.5</v>
      </c>
      <c r="G203" s="293">
        <v>2713</v>
      </c>
      <c r="H203" s="293">
        <f t="shared" si="19"/>
        <v>162780</v>
      </c>
      <c r="I203" s="233">
        <f t="shared" si="25"/>
        <v>77060</v>
      </c>
      <c r="J203" s="233">
        <f t="shared" si="23"/>
        <v>1605.4166666666667</v>
      </c>
      <c r="K203" s="233">
        <f t="shared" si="20"/>
        <v>89977.083333333328</v>
      </c>
      <c r="L203" s="175">
        <f t="shared" si="22"/>
        <v>101.25807691946993</v>
      </c>
      <c r="M203" s="294">
        <f>K203/$K$85*100</f>
        <v>110.56525523526699</v>
      </c>
    </row>
    <row r="204" spans="2:13" ht="12" hidden="1" customHeight="1">
      <c r="B204" s="265" t="s">
        <v>156</v>
      </c>
      <c r="C204" s="262" t="s">
        <v>156</v>
      </c>
      <c r="D204" s="290">
        <v>492700</v>
      </c>
      <c r="E204" s="379">
        <f t="shared" si="24"/>
        <v>458585.41666666669</v>
      </c>
      <c r="F204" s="380">
        <f t="shared" si="18"/>
        <v>91717.083333333343</v>
      </c>
      <c r="G204" s="293">
        <v>2482</v>
      </c>
      <c r="H204" s="293">
        <f t="shared" si="19"/>
        <v>148920</v>
      </c>
      <c r="I204" s="381">
        <f t="shared" si="25"/>
        <v>56840</v>
      </c>
      <c r="J204" s="381">
        <f t="shared" si="23"/>
        <v>1184.1666666666667</v>
      </c>
      <c r="K204" s="381">
        <f t="shared" si="20"/>
        <v>90532.916666666672</v>
      </c>
      <c r="L204" s="382">
        <f t="shared" si="22"/>
        <v>102.04676851977965</v>
      </c>
      <c r="M204" s="383">
        <f t="shared" si="21"/>
        <v>111.24827197788132</v>
      </c>
    </row>
    <row r="205" spans="2:13" ht="12" hidden="1" customHeight="1">
      <c r="B205" s="265" t="s">
        <v>157</v>
      </c>
      <c r="C205" s="262" t="s">
        <v>157</v>
      </c>
      <c r="D205" s="290">
        <v>488600</v>
      </c>
      <c r="E205" s="379">
        <f t="shared" ref="E205" si="26">AVERAGE(D158:D205)</f>
        <v>459125</v>
      </c>
      <c r="F205" s="380">
        <f t="shared" ref="F205" si="27">E205*0.2</f>
        <v>91825</v>
      </c>
      <c r="G205" s="293">
        <v>2772</v>
      </c>
      <c r="H205" s="293">
        <f t="shared" si="19"/>
        <v>166320</v>
      </c>
      <c r="I205" s="233">
        <f t="shared" si="25"/>
        <v>73780</v>
      </c>
      <c r="J205" s="233">
        <f t="shared" si="23"/>
        <v>1537.0833333333333</v>
      </c>
      <c r="K205" s="233">
        <f t="shared" si="20"/>
        <v>90287.916666666672</v>
      </c>
      <c r="L205" s="175">
        <f t="shared" si="22"/>
        <v>101.61979393820022</v>
      </c>
      <c r="M205" s="294">
        <f t="shared" si="21"/>
        <v>110.9472121243152</v>
      </c>
    </row>
    <row r="206" spans="2:13" ht="12" hidden="1" customHeight="1">
      <c r="B206" s="258" t="s">
        <v>361</v>
      </c>
      <c r="C206" s="257" t="s">
        <v>362</v>
      </c>
      <c r="D206" s="463">
        <v>491600</v>
      </c>
      <c r="E206" s="344">
        <f t="shared" ref="E206" si="28">AVERAGE(D159:D206)</f>
        <v>459516.66666666669</v>
      </c>
      <c r="F206" s="345">
        <f t="shared" ref="F206" si="29">E206*0.2</f>
        <v>91903.333333333343</v>
      </c>
      <c r="G206" s="468">
        <v>2851</v>
      </c>
      <c r="H206" s="302">
        <f t="shared" ref="H206" si="30">G206*60</f>
        <v>171060</v>
      </c>
      <c r="I206" s="239">
        <f t="shared" ref="I206" si="31">H206-D158*0.2</f>
        <v>76500</v>
      </c>
      <c r="J206" s="239">
        <f t="shared" ref="J206" si="32">I206/48</f>
        <v>1593.75</v>
      </c>
      <c r="K206" s="239">
        <f t="shared" ref="K206" si="33">F206-J206</f>
        <v>90309.583333333343</v>
      </c>
      <c r="L206" s="178">
        <f t="shared" ref="L206" si="34">K206/K194*100</f>
        <v>101.33528451939576</v>
      </c>
      <c r="M206" s="304">
        <f t="shared" ref="M206" si="35">K206/$K$85*100</f>
        <v>110.97383646510677</v>
      </c>
    </row>
    <row r="207" spans="2:13" ht="12" hidden="1" customHeight="1">
      <c r="B207" s="265" t="s">
        <v>147</v>
      </c>
      <c r="C207" s="262" t="s">
        <v>147</v>
      </c>
      <c r="D207" s="464">
        <v>503100</v>
      </c>
      <c r="E207" s="291">
        <f t="shared" ref="E207:E215" si="36">AVERAGE(D160:D207)</f>
        <v>459364.58333333331</v>
      </c>
      <c r="F207" s="292">
        <f t="shared" ref="F207:F215" si="37">E207*0.2</f>
        <v>91872.916666666672</v>
      </c>
      <c r="G207" s="469">
        <v>3142</v>
      </c>
      <c r="H207" s="293">
        <f t="shared" ref="H207:H215" si="38">G207*60</f>
        <v>188520</v>
      </c>
      <c r="I207" s="233">
        <f t="shared" ref="I207:I215" si="39">H207-D159*0.2</f>
        <v>86440</v>
      </c>
      <c r="J207" s="233">
        <f t="shared" ref="J207:J215" si="40">I207/48</f>
        <v>1800.8333333333333</v>
      </c>
      <c r="K207" s="233">
        <f t="shared" ref="K207:K215" si="41">F207-J207</f>
        <v>90072.083333333343</v>
      </c>
      <c r="L207" s="175">
        <f t="shared" ref="L207:L215" si="42">K207/K195*100</f>
        <v>101.34740434788725</v>
      </c>
      <c r="M207" s="294">
        <f t="shared" ref="M207:M215" si="43">K207/$K$85*100</f>
        <v>110.68199272950694</v>
      </c>
    </row>
    <row r="208" spans="2:13" ht="12" hidden="1" customHeight="1">
      <c r="B208" s="265" t="s">
        <v>148</v>
      </c>
      <c r="C208" s="262" t="s">
        <v>148</v>
      </c>
      <c r="D208" s="464">
        <v>515500</v>
      </c>
      <c r="E208" s="291">
        <f t="shared" ref="E208" si="44">AVERAGE(D161:D208)</f>
        <v>459739.58333333331</v>
      </c>
      <c r="F208" s="292">
        <f t="shared" ref="F208" si="45">E208*0.2</f>
        <v>91947.916666666672</v>
      </c>
      <c r="G208" s="469">
        <v>3319</v>
      </c>
      <c r="H208" s="293">
        <f t="shared" si="38"/>
        <v>199140</v>
      </c>
      <c r="I208" s="233">
        <f t="shared" ref="I208" si="46">H208-D160*0.2</f>
        <v>99640</v>
      </c>
      <c r="J208" s="233">
        <f t="shared" ref="J208" si="47">I208/48</f>
        <v>2075.8333333333335</v>
      </c>
      <c r="K208" s="233">
        <f t="shared" ref="K208" si="48">F208-J208</f>
        <v>89872.083333333343</v>
      </c>
      <c r="L208" s="175">
        <f t="shared" ref="L208" si="49">K208/K196*100</f>
        <v>100.80902216281396</v>
      </c>
      <c r="M208" s="294">
        <f t="shared" ref="M208" si="50">K208/$K$85*100</f>
        <v>110.43622958373869</v>
      </c>
    </row>
    <row r="209" spans="2:13" ht="12" hidden="1" customHeight="1">
      <c r="B209" s="265" t="s">
        <v>149</v>
      </c>
      <c r="C209" s="262" t="s">
        <v>149</v>
      </c>
      <c r="D209" s="464">
        <v>504400</v>
      </c>
      <c r="E209" s="291">
        <f t="shared" si="36"/>
        <v>460145.83333333331</v>
      </c>
      <c r="F209" s="292">
        <f t="shared" si="37"/>
        <v>92029.166666666672</v>
      </c>
      <c r="G209" s="469">
        <v>3243</v>
      </c>
      <c r="H209" s="293">
        <f t="shared" si="38"/>
        <v>194580</v>
      </c>
      <c r="I209" s="233">
        <f t="shared" si="39"/>
        <v>97600</v>
      </c>
      <c r="J209" s="233">
        <f t="shared" si="40"/>
        <v>2033.3333333333333</v>
      </c>
      <c r="K209" s="233">
        <f t="shared" si="41"/>
        <v>89995.833333333343</v>
      </c>
      <c r="L209" s="175">
        <f t="shared" si="42"/>
        <v>101.04275335538291</v>
      </c>
      <c r="M209" s="294">
        <f t="shared" si="43"/>
        <v>110.58829553018279</v>
      </c>
    </row>
    <row r="210" spans="2:13" ht="12" hidden="1" customHeight="1">
      <c r="B210" s="265" t="s">
        <v>150</v>
      </c>
      <c r="C210" s="262" t="s">
        <v>150</v>
      </c>
      <c r="D210" s="464">
        <v>504600</v>
      </c>
      <c r="E210" s="291">
        <f t="shared" si="36"/>
        <v>460527.08333333331</v>
      </c>
      <c r="F210" s="292">
        <f t="shared" si="37"/>
        <v>92105.416666666672</v>
      </c>
      <c r="G210" s="469">
        <v>3608</v>
      </c>
      <c r="H210" s="293">
        <f t="shared" si="38"/>
        <v>216480</v>
      </c>
      <c r="I210" s="233">
        <f t="shared" si="39"/>
        <v>119220</v>
      </c>
      <c r="J210" s="233">
        <f t="shared" si="40"/>
        <v>2483.75</v>
      </c>
      <c r="K210" s="233">
        <f t="shared" si="41"/>
        <v>89621.666666666672</v>
      </c>
      <c r="L210" s="175">
        <f t="shared" si="42"/>
        <v>100.48680214903061</v>
      </c>
      <c r="M210" s="294">
        <f t="shared" si="43"/>
        <v>110.12851364497465</v>
      </c>
    </row>
    <row r="211" spans="2:13" s="88" customFormat="1" ht="12" hidden="1" customHeight="1">
      <c r="B211" s="265" t="s">
        <v>151</v>
      </c>
      <c r="C211" s="262" t="s">
        <v>151</v>
      </c>
      <c r="D211" s="464">
        <v>507900</v>
      </c>
      <c r="E211" s="291">
        <f t="shared" si="36"/>
        <v>461443.75</v>
      </c>
      <c r="F211" s="292">
        <f t="shared" si="37"/>
        <v>92288.75</v>
      </c>
      <c r="G211" s="469">
        <v>3692</v>
      </c>
      <c r="H211" s="293">
        <f t="shared" si="38"/>
        <v>221520</v>
      </c>
      <c r="I211" s="233">
        <f t="shared" si="39"/>
        <v>128740</v>
      </c>
      <c r="J211" s="233">
        <f t="shared" si="40"/>
        <v>2682.0833333333335</v>
      </c>
      <c r="K211" s="233">
        <f t="shared" si="41"/>
        <v>89606.666666666672</v>
      </c>
      <c r="L211" s="175">
        <f t="shared" si="42"/>
        <v>100.41462776885434</v>
      </c>
      <c r="M211" s="294">
        <f t="shared" si="43"/>
        <v>110.11008140904204</v>
      </c>
    </row>
    <row r="212" spans="2:13" s="88" customFormat="1" ht="12" hidden="1" customHeight="1">
      <c r="B212" s="265" t="s">
        <v>152</v>
      </c>
      <c r="C212" s="262" t="s">
        <v>152</v>
      </c>
      <c r="D212" s="464">
        <v>494000</v>
      </c>
      <c r="E212" s="291">
        <f t="shared" si="36"/>
        <v>462581.25</v>
      </c>
      <c r="F212" s="292">
        <f t="shared" si="37"/>
        <v>92516.25</v>
      </c>
      <c r="G212" s="469">
        <v>3303</v>
      </c>
      <c r="H212" s="293">
        <f t="shared" si="38"/>
        <v>198180</v>
      </c>
      <c r="I212" s="233">
        <f t="shared" si="39"/>
        <v>110300</v>
      </c>
      <c r="J212" s="233">
        <f t="shared" si="40"/>
        <v>2297.9166666666665</v>
      </c>
      <c r="K212" s="233">
        <f t="shared" si="41"/>
        <v>90218.333333333328</v>
      </c>
      <c r="L212" s="175">
        <f t="shared" si="42"/>
        <v>101.07128353304174</v>
      </c>
      <c r="M212" s="294">
        <f t="shared" si="43"/>
        <v>110.86170702984997</v>
      </c>
    </row>
    <row r="213" spans="2:13" ht="12" hidden="1" customHeight="1">
      <c r="B213" s="265" t="s">
        <v>153</v>
      </c>
      <c r="C213" s="262" t="s">
        <v>153</v>
      </c>
      <c r="D213" s="464">
        <v>505700</v>
      </c>
      <c r="E213" s="291">
        <f t="shared" ref="E213" si="51">AVERAGE(D166:D213)</f>
        <v>463972.91666666669</v>
      </c>
      <c r="F213" s="292">
        <f t="shared" ref="F213" si="52">E213*0.2</f>
        <v>92794.583333333343</v>
      </c>
      <c r="G213" s="469">
        <v>3450</v>
      </c>
      <c r="H213" s="293">
        <f t="shared" ref="H213" si="53">G213*60</f>
        <v>207000</v>
      </c>
      <c r="I213" s="233">
        <f t="shared" ref="I213" si="54">H213-D165*0.2</f>
        <v>119220</v>
      </c>
      <c r="J213" s="233">
        <f t="shared" ref="J213" si="55">I213/48</f>
        <v>2483.75</v>
      </c>
      <c r="K213" s="233">
        <f t="shared" ref="K213" si="56">F213-J213</f>
        <v>90310.833333333343</v>
      </c>
      <c r="L213" s="175">
        <f t="shared" ref="L213" si="57">K213/K201*100</f>
        <v>100.7090419106031</v>
      </c>
      <c r="M213" s="294">
        <f t="shared" ref="M213" si="58">K213/$K$85*100</f>
        <v>110.9753724847678</v>
      </c>
    </row>
    <row r="214" spans="2:13" s="88" customFormat="1" ht="12" hidden="1" customHeight="1">
      <c r="B214" s="265" t="s">
        <v>154</v>
      </c>
      <c r="C214" s="262" t="s">
        <v>154</v>
      </c>
      <c r="D214" s="464">
        <v>506900</v>
      </c>
      <c r="E214" s="291">
        <f t="shared" si="36"/>
        <v>465737.5</v>
      </c>
      <c r="F214" s="292">
        <f t="shared" si="37"/>
        <v>93147.5</v>
      </c>
      <c r="G214" s="469">
        <v>3088</v>
      </c>
      <c r="H214" s="293">
        <f t="shared" si="38"/>
        <v>185280</v>
      </c>
      <c r="I214" s="233">
        <f t="shared" si="39"/>
        <v>100840</v>
      </c>
      <c r="J214" s="233">
        <f t="shared" si="40"/>
        <v>2100.8333333333335</v>
      </c>
      <c r="K214" s="233">
        <f t="shared" si="41"/>
        <v>91046.666666666672</v>
      </c>
      <c r="L214" s="175">
        <f t="shared" si="42"/>
        <v>101.22435365893203</v>
      </c>
      <c r="M214" s="294">
        <f t="shared" si="43"/>
        <v>111.87957605857355</v>
      </c>
    </row>
    <row r="215" spans="2:13" ht="12" hidden="1" customHeight="1">
      <c r="B215" s="265" t="s">
        <v>155</v>
      </c>
      <c r="C215" s="262" t="s">
        <v>155</v>
      </c>
      <c r="D215" s="464">
        <v>518400</v>
      </c>
      <c r="E215" s="291">
        <f t="shared" si="36"/>
        <v>467616.66666666669</v>
      </c>
      <c r="F215" s="292">
        <f t="shared" si="37"/>
        <v>93523.333333333343</v>
      </c>
      <c r="G215" s="469">
        <v>3068</v>
      </c>
      <c r="H215" s="293">
        <f t="shared" si="38"/>
        <v>184080</v>
      </c>
      <c r="I215" s="233">
        <f t="shared" si="39"/>
        <v>98440</v>
      </c>
      <c r="J215" s="233">
        <f t="shared" si="40"/>
        <v>2050.8333333333335</v>
      </c>
      <c r="K215" s="233">
        <f t="shared" si="41"/>
        <v>91472.500000000015</v>
      </c>
      <c r="L215" s="175">
        <f t="shared" si="42"/>
        <v>101.66199726782285</v>
      </c>
      <c r="M215" s="294">
        <f t="shared" si="43"/>
        <v>112.40284675643851</v>
      </c>
    </row>
    <row r="216" spans="2:13" ht="12" hidden="1" customHeight="1">
      <c r="B216" s="265" t="s">
        <v>156</v>
      </c>
      <c r="C216" s="262" t="s">
        <v>156</v>
      </c>
      <c r="D216" s="464">
        <v>544600</v>
      </c>
      <c r="E216" s="291">
        <f t="shared" ref="E216:E227" si="59">AVERAGE(D169:D216)</f>
        <v>470210.41666666669</v>
      </c>
      <c r="F216" s="292">
        <f t="shared" ref="F216:F227" si="60">E216*0.2</f>
        <v>94042.083333333343</v>
      </c>
      <c r="G216" s="469">
        <v>3335</v>
      </c>
      <c r="H216" s="293">
        <f t="shared" ref="H216:H227" si="61">G216*60</f>
        <v>200100</v>
      </c>
      <c r="I216" s="233">
        <f t="shared" ref="I216:I227" si="62">H216-D168*0.2</f>
        <v>116080</v>
      </c>
      <c r="J216" s="233">
        <f t="shared" ref="J216:J227" si="63">I216/48</f>
        <v>2418.3333333333335</v>
      </c>
      <c r="K216" s="233">
        <f t="shared" ref="K216:K227" si="64">F216-J216</f>
        <v>91623.750000000015</v>
      </c>
      <c r="L216" s="175">
        <f t="shared" ref="L216:L227" si="65">K216/K204*100</f>
        <v>101.20490245260703</v>
      </c>
      <c r="M216" s="294">
        <f t="shared" ref="M216:M227" si="66">K216/$K$85*100</f>
        <v>112.58870513542574</v>
      </c>
    </row>
    <row r="217" spans="2:13" ht="12" hidden="1" customHeight="1">
      <c r="B217" s="387" t="s">
        <v>157</v>
      </c>
      <c r="C217" s="263" t="s">
        <v>157</v>
      </c>
      <c r="D217" s="465">
        <v>559800</v>
      </c>
      <c r="E217" s="310">
        <f t="shared" si="59"/>
        <v>473102.08333333331</v>
      </c>
      <c r="F217" s="307">
        <f t="shared" si="60"/>
        <v>94620.416666666672</v>
      </c>
      <c r="G217" s="470">
        <v>3099</v>
      </c>
      <c r="H217" s="306">
        <f t="shared" si="61"/>
        <v>185940</v>
      </c>
      <c r="I217" s="235">
        <f t="shared" si="62"/>
        <v>101740</v>
      </c>
      <c r="J217" s="235">
        <f t="shared" si="63"/>
        <v>2119.5833333333335</v>
      </c>
      <c r="K217" s="235">
        <f t="shared" si="64"/>
        <v>92500.833333333343</v>
      </c>
      <c r="L217" s="182">
        <f t="shared" si="65"/>
        <v>102.4509555080737</v>
      </c>
      <c r="M217" s="308">
        <f t="shared" si="66"/>
        <v>113.66647893093031</v>
      </c>
    </row>
    <row r="218" spans="2:13" ht="12" hidden="1" customHeight="1">
      <c r="B218" s="337" t="s">
        <v>371</v>
      </c>
      <c r="C218" s="253" t="s">
        <v>372</v>
      </c>
      <c r="D218" s="466">
        <v>577900</v>
      </c>
      <c r="E218" s="379">
        <f t="shared" si="59"/>
        <v>475906.25</v>
      </c>
      <c r="F218" s="380">
        <f t="shared" si="60"/>
        <v>95181.25</v>
      </c>
      <c r="G218" s="469">
        <v>3239</v>
      </c>
      <c r="H218" s="293">
        <f t="shared" si="61"/>
        <v>194340</v>
      </c>
      <c r="I218" s="233">
        <f t="shared" si="62"/>
        <v>105680</v>
      </c>
      <c r="J218" s="233">
        <f t="shared" si="63"/>
        <v>2201.6666666666665</v>
      </c>
      <c r="K218" s="233">
        <f t="shared" si="64"/>
        <v>92979.583333333328</v>
      </c>
      <c r="L218" s="175">
        <f t="shared" si="65"/>
        <v>102.95649686495064</v>
      </c>
      <c r="M218" s="294">
        <f t="shared" si="66"/>
        <v>114.2547744611131</v>
      </c>
    </row>
    <row r="219" spans="2:13" ht="12" hidden="1" customHeight="1">
      <c r="B219" s="265" t="s">
        <v>147</v>
      </c>
      <c r="C219" s="262" t="s">
        <v>147</v>
      </c>
      <c r="D219" s="464">
        <v>610900</v>
      </c>
      <c r="E219" s="291">
        <f t="shared" si="59"/>
        <v>479002.08333333331</v>
      </c>
      <c r="F219" s="292">
        <f t="shared" si="60"/>
        <v>95800.416666666672</v>
      </c>
      <c r="G219" s="469">
        <v>3026</v>
      </c>
      <c r="H219" s="293">
        <f t="shared" si="61"/>
        <v>181560</v>
      </c>
      <c r="I219" s="233">
        <f t="shared" si="62"/>
        <v>89100</v>
      </c>
      <c r="J219" s="233">
        <f t="shared" si="63"/>
        <v>1856.25</v>
      </c>
      <c r="K219" s="233">
        <f t="shared" si="64"/>
        <v>93944.166666666672</v>
      </c>
      <c r="L219" s="175">
        <f t="shared" si="65"/>
        <v>104.29887173698842</v>
      </c>
      <c r="M219" s="294">
        <f t="shared" si="66"/>
        <v>115.44006963289131</v>
      </c>
    </row>
    <row r="220" spans="2:13" ht="12" hidden="1" customHeight="1">
      <c r="B220" s="265" t="s">
        <v>148</v>
      </c>
      <c r="C220" s="262" t="s">
        <v>148</v>
      </c>
      <c r="D220" s="464">
        <v>629200</v>
      </c>
      <c r="E220" s="291">
        <f t="shared" ref="E220" si="67">AVERAGE(D173:D220)</f>
        <v>482427.08333333331</v>
      </c>
      <c r="F220" s="292">
        <f t="shared" ref="F220" si="68">E220*0.2</f>
        <v>96485.416666666672</v>
      </c>
      <c r="G220" s="469">
        <v>2971</v>
      </c>
      <c r="H220" s="293">
        <f t="shared" si="61"/>
        <v>178260</v>
      </c>
      <c r="I220" s="233">
        <f t="shared" ref="I220" si="69">H220-D172*0.2</f>
        <v>85300</v>
      </c>
      <c r="J220" s="233">
        <f t="shared" ref="J220" si="70">I220/48</f>
        <v>1777.0833333333333</v>
      </c>
      <c r="K220" s="233">
        <f t="shared" ref="K220" si="71">F220-J220</f>
        <v>94708.333333333343</v>
      </c>
      <c r="L220" s="175">
        <f t="shared" ref="L220" si="72">K220/K208*100</f>
        <v>105.38125947527273</v>
      </c>
      <c r="M220" s="294">
        <f t="shared" ref="M220" si="73">K220/$K$85*100</f>
        <v>116.37908965234756</v>
      </c>
    </row>
    <row r="221" spans="2:13" ht="12" hidden="1" customHeight="1">
      <c r="B221" s="265" t="s">
        <v>149</v>
      </c>
      <c r="C221" s="262" t="s">
        <v>149</v>
      </c>
      <c r="D221" s="464">
        <v>625000</v>
      </c>
      <c r="E221" s="291">
        <f t="shared" si="59"/>
        <v>485727.08333333331</v>
      </c>
      <c r="F221" s="292">
        <f t="shared" si="60"/>
        <v>97145.416666666672</v>
      </c>
      <c r="G221" s="469">
        <v>3187</v>
      </c>
      <c r="H221" s="293">
        <f t="shared" si="61"/>
        <v>191220</v>
      </c>
      <c r="I221" s="233">
        <f t="shared" si="62"/>
        <v>97900</v>
      </c>
      <c r="J221" s="233">
        <f t="shared" si="63"/>
        <v>2039.5833333333333</v>
      </c>
      <c r="K221" s="233">
        <f t="shared" si="64"/>
        <v>95105.833333333343</v>
      </c>
      <c r="L221" s="175">
        <f t="shared" si="65"/>
        <v>105.6780406500301</v>
      </c>
      <c r="M221" s="294">
        <f t="shared" si="66"/>
        <v>116.86754390456198</v>
      </c>
    </row>
    <row r="222" spans="2:13" s="88" customFormat="1" ht="12" hidden="1" customHeight="1">
      <c r="B222" s="265" t="s">
        <v>150</v>
      </c>
      <c r="C222" s="262" t="s">
        <v>150</v>
      </c>
      <c r="D222" s="464">
        <v>617500</v>
      </c>
      <c r="E222" s="291">
        <f t="shared" si="59"/>
        <v>489050</v>
      </c>
      <c r="F222" s="292">
        <f t="shared" si="60"/>
        <v>97810</v>
      </c>
      <c r="G222" s="469">
        <v>3148</v>
      </c>
      <c r="H222" s="293">
        <f t="shared" si="61"/>
        <v>188880</v>
      </c>
      <c r="I222" s="233">
        <f t="shared" si="62"/>
        <v>97280</v>
      </c>
      <c r="J222" s="233">
        <f t="shared" si="63"/>
        <v>2026.6666666666667</v>
      </c>
      <c r="K222" s="233">
        <f t="shared" si="64"/>
        <v>95783.333333333328</v>
      </c>
      <c r="L222" s="175">
        <f t="shared" si="65"/>
        <v>106.87519758986852</v>
      </c>
      <c r="M222" s="294">
        <f t="shared" si="66"/>
        <v>117.70006656085197</v>
      </c>
    </row>
    <row r="223" spans="2:13" s="88" customFormat="1" ht="12" hidden="1" customHeight="1">
      <c r="B223" s="265" t="s">
        <v>151</v>
      </c>
      <c r="C223" s="262" t="s">
        <v>151</v>
      </c>
      <c r="D223" s="464">
        <v>600400</v>
      </c>
      <c r="E223" s="291">
        <f t="shared" si="59"/>
        <v>492197.91666666669</v>
      </c>
      <c r="F223" s="292">
        <f t="shared" si="60"/>
        <v>98439.583333333343</v>
      </c>
      <c r="G223" s="469">
        <v>3277</v>
      </c>
      <c r="H223" s="293">
        <f t="shared" si="61"/>
        <v>196620</v>
      </c>
      <c r="I223" s="233">
        <f t="shared" si="62"/>
        <v>106760</v>
      </c>
      <c r="J223" s="233">
        <f t="shared" si="63"/>
        <v>2224.1666666666665</v>
      </c>
      <c r="K223" s="233">
        <f t="shared" si="64"/>
        <v>96215.416666666672</v>
      </c>
      <c r="L223" s="175">
        <f t="shared" si="65"/>
        <v>107.37528829700172</v>
      </c>
      <c r="M223" s="294">
        <f t="shared" si="66"/>
        <v>118.23101735702217</v>
      </c>
    </row>
    <row r="224" spans="2:13" s="88" customFormat="1" ht="12" hidden="1" customHeight="1">
      <c r="B224" s="265" t="s">
        <v>152</v>
      </c>
      <c r="C224" s="262" t="s">
        <v>152</v>
      </c>
      <c r="D224" s="464">
        <v>599500</v>
      </c>
      <c r="E224" s="291">
        <f t="shared" si="59"/>
        <v>495893.75</v>
      </c>
      <c r="F224" s="292">
        <f t="shared" si="60"/>
        <v>99178.75</v>
      </c>
      <c r="G224" s="469">
        <v>3120</v>
      </c>
      <c r="H224" s="293">
        <f t="shared" si="61"/>
        <v>187200</v>
      </c>
      <c r="I224" s="233">
        <f t="shared" si="62"/>
        <v>102780</v>
      </c>
      <c r="J224" s="233">
        <f t="shared" si="63"/>
        <v>2141.25</v>
      </c>
      <c r="K224" s="233">
        <f t="shared" si="64"/>
        <v>97037.5</v>
      </c>
      <c r="L224" s="175">
        <f t="shared" si="65"/>
        <v>107.5585154532523</v>
      </c>
      <c r="M224" s="294">
        <f t="shared" si="66"/>
        <v>119.24120628744048</v>
      </c>
    </row>
    <row r="225" spans="2:14" ht="12" hidden="1" customHeight="1">
      <c r="B225" s="265" t="s">
        <v>153</v>
      </c>
      <c r="C225" s="262" t="s">
        <v>153</v>
      </c>
      <c r="D225" s="464">
        <v>608200</v>
      </c>
      <c r="E225" s="291">
        <f t="shared" si="59"/>
        <v>499731.25</v>
      </c>
      <c r="F225" s="292">
        <f t="shared" si="60"/>
        <v>99946.25</v>
      </c>
      <c r="G225" s="469">
        <v>3045</v>
      </c>
      <c r="H225" s="293">
        <f t="shared" si="61"/>
        <v>182700</v>
      </c>
      <c r="I225" s="233">
        <f t="shared" si="62"/>
        <v>97900</v>
      </c>
      <c r="J225" s="233">
        <f t="shared" si="63"/>
        <v>2039.5833333333333</v>
      </c>
      <c r="K225" s="233">
        <f t="shared" si="64"/>
        <v>97906.666666666672</v>
      </c>
      <c r="L225" s="175">
        <f t="shared" si="65"/>
        <v>108.41076651933599</v>
      </c>
      <c r="M225" s="294">
        <f t="shared" si="66"/>
        <v>120.30925195842505</v>
      </c>
      <c r="N225" s="88"/>
    </row>
    <row r="226" spans="2:14" s="88" customFormat="1" ht="12" hidden="1" customHeight="1">
      <c r="B226" s="265" t="s">
        <v>154</v>
      </c>
      <c r="C226" s="262" t="s">
        <v>154</v>
      </c>
      <c r="D226" s="464">
        <v>629000</v>
      </c>
      <c r="E226" s="291">
        <f t="shared" si="59"/>
        <v>503939.58333333331</v>
      </c>
      <c r="F226" s="292">
        <f t="shared" si="60"/>
        <v>100787.91666666667</v>
      </c>
      <c r="G226" s="469">
        <v>3401</v>
      </c>
      <c r="H226" s="293">
        <f t="shared" si="61"/>
        <v>204060</v>
      </c>
      <c r="I226" s="233">
        <f t="shared" si="62"/>
        <v>118660</v>
      </c>
      <c r="J226" s="233">
        <f t="shared" si="63"/>
        <v>2472.0833333333335</v>
      </c>
      <c r="K226" s="233">
        <f t="shared" si="64"/>
        <v>98315.833333333343</v>
      </c>
      <c r="L226" s="175">
        <f t="shared" si="65"/>
        <v>107.98400087867029</v>
      </c>
      <c r="M226" s="294">
        <f t="shared" si="66"/>
        <v>120.81204239414265</v>
      </c>
    </row>
    <row r="227" spans="2:14" s="88" customFormat="1" ht="12" hidden="1" customHeight="1">
      <c r="B227" s="265" t="s">
        <v>155</v>
      </c>
      <c r="C227" s="262" t="s">
        <v>155</v>
      </c>
      <c r="D227" s="464">
        <v>655400</v>
      </c>
      <c r="E227" s="291">
        <f t="shared" si="59"/>
        <v>508479.16666666669</v>
      </c>
      <c r="F227" s="292">
        <f t="shared" si="60"/>
        <v>101695.83333333334</v>
      </c>
      <c r="G227" s="469">
        <v>3133</v>
      </c>
      <c r="H227" s="293">
        <f t="shared" si="61"/>
        <v>187980</v>
      </c>
      <c r="I227" s="233">
        <f t="shared" si="62"/>
        <v>100480</v>
      </c>
      <c r="J227" s="233">
        <f t="shared" si="63"/>
        <v>2093.3333333333335</v>
      </c>
      <c r="K227" s="233">
        <f t="shared" si="64"/>
        <v>99602.500000000015</v>
      </c>
      <c r="L227" s="175">
        <f t="shared" si="65"/>
        <v>108.88791713356474</v>
      </c>
      <c r="M227" s="294">
        <f t="shared" si="66"/>
        <v>122.39311863191851</v>
      </c>
    </row>
    <row r="228" spans="2:14" s="88" customFormat="1" ht="12" hidden="1" customHeight="1">
      <c r="B228" s="395" t="s">
        <v>156</v>
      </c>
      <c r="C228" s="262" t="s">
        <v>156</v>
      </c>
      <c r="D228" s="467">
        <v>676600</v>
      </c>
      <c r="E228" s="291">
        <f t="shared" ref="E228:E239" si="74">AVERAGE(D181:D228)</f>
        <v>513581.25</v>
      </c>
      <c r="F228" s="292">
        <f t="shared" ref="F228:F239" si="75">E228*0.2</f>
        <v>102716.25</v>
      </c>
      <c r="G228" s="469">
        <v>3088</v>
      </c>
      <c r="H228" s="293">
        <f t="shared" ref="H228:H239" si="76">G228*60</f>
        <v>185280</v>
      </c>
      <c r="I228" s="233">
        <f t="shared" ref="I228:I239" si="77">H228-D180*0.2</f>
        <v>98940</v>
      </c>
      <c r="J228" s="233">
        <f t="shared" ref="J228:J239" si="78">I228/48</f>
        <v>2061.25</v>
      </c>
      <c r="K228" s="233">
        <f t="shared" ref="K228:K239" si="79">F228-J228</f>
        <v>100655</v>
      </c>
      <c r="L228" s="175">
        <f t="shared" ref="L228:L239" si="80">K228/K216*100</f>
        <v>109.85688754280412</v>
      </c>
      <c r="M228" s="294">
        <f t="shared" ref="M228:M239" si="81">K228/$K$85*100</f>
        <v>123.68644718652398</v>
      </c>
    </row>
    <row r="229" spans="2:14" ht="12" hidden="1" customHeight="1">
      <c r="B229" s="387" t="s">
        <v>157</v>
      </c>
      <c r="C229" s="263" t="s">
        <v>157</v>
      </c>
      <c r="D229" s="465">
        <v>720300</v>
      </c>
      <c r="E229" s="310">
        <f t="shared" si="74"/>
        <v>519383.33333333331</v>
      </c>
      <c r="F229" s="307">
        <f t="shared" si="75"/>
        <v>103876.66666666667</v>
      </c>
      <c r="G229" s="470">
        <v>2795</v>
      </c>
      <c r="H229" s="306">
        <f t="shared" si="76"/>
        <v>167700</v>
      </c>
      <c r="I229" s="235">
        <f t="shared" si="77"/>
        <v>79340</v>
      </c>
      <c r="J229" s="235">
        <f t="shared" si="78"/>
        <v>1652.9166666666667</v>
      </c>
      <c r="K229" s="235">
        <f t="shared" si="79"/>
        <v>102223.75</v>
      </c>
      <c r="L229" s="182">
        <f t="shared" si="80"/>
        <v>110.51116656606696</v>
      </c>
      <c r="M229" s="308">
        <f t="shared" si="81"/>
        <v>125.61415186114382</v>
      </c>
    </row>
    <row r="230" spans="2:14" ht="12" hidden="1" customHeight="1">
      <c r="B230" s="337" t="s">
        <v>376</v>
      </c>
      <c r="C230" s="253" t="s">
        <v>377</v>
      </c>
      <c r="D230" s="466">
        <v>741800</v>
      </c>
      <c r="E230" s="379">
        <f t="shared" si="74"/>
        <v>525308.33333333337</v>
      </c>
      <c r="F230" s="380">
        <f t="shared" si="75"/>
        <v>105061.66666666669</v>
      </c>
      <c r="G230" s="469">
        <v>2832</v>
      </c>
      <c r="H230" s="293">
        <f t="shared" si="76"/>
        <v>169920</v>
      </c>
      <c r="I230" s="233">
        <f t="shared" si="77"/>
        <v>78440</v>
      </c>
      <c r="J230" s="233">
        <f t="shared" si="78"/>
        <v>1634.1666666666667</v>
      </c>
      <c r="K230" s="233">
        <f t="shared" si="79"/>
        <v>103427.50000000001</v>
      </c>
      <c r="L230" s="175">
        <f t="shared" si="80"/>
        <v>111.23678585352521</v>
      </c>
      <c r="M230" s="294">
        <f t="shared" si="81"/>
        <v>127.09333879473658</v>
      </c>
    </row>
    <row r="231" spans="2:14" ht="12" hidden="1" customHeight="1">
      <c r="B231" s="265" t="s">
        <v>147</v>
      </c>
      <c r="C231" s="262" t="s">
        <v>147</v>
      </c>
      <c r="D231" s="464">
        <v>759600</v>
      </c>
      <c r="E231" s="291">
        <f t="shared" si="74"/>
        <v>531418.75</v>
      </c>
      <c r="F231" s="292">
        <f t="shared" si="75"/>
        <v>106283.75</v>
      </c>
      <c r="G231" s="469">
        <v>2999</v>
      </c>
      <c r="H231" s="293">
        <f t="shared" si="76"/>
        <v>179940</v>
      </c>
      <c r="I231" s="233">
        <f t="shared" si="77"/>
        <v>86680</v>
      </c>
      <c r="J231" s="233">
        <f t="shared" si="78"/>
        <v>1805.8333333333333</v>
      </c>
      <c r="K231" s="233">
        <f t="shared" si="79"/>
        <v>104477.91666666667</v>
      </c>
      <c r="L231" s="175">
        <f t="shared" si="80"/>
        <v>111.21277709277673</v>
      </c>
      <c r="M231" s="294">
        <f t="shared" si="81"/>
        <v>128.38410731657365</v>
      </c>
    </row>
    <row r="232" spans="2:14" ht="12" hidden="1" customHeight="1">
      <c r="B232" s="265" t="s">
        <v>148</v>
      </c>
      <c r="C232" s="262" t="s">
        <v>148</v>
      </c>
      <c r="D232" s="464">
        <v>786300</v>
      </c>
      <c r="E232" s="291">
        <f t="shared" si="74"/>
        <v>538083.33333333337</v>
      </c>
      <c r="F232" s="292">
        <f t="shared" si="75"/>
        <v>107616.66666666669</v>
      </c>
      <c r="G232" s="469">
        <v>2949</v>
      </c>
      <c r="H232" s="293">
        <f t="shared" si="76"/>
        <v>176940</v>
      </c>
      <c r="I232" s="233">
        <f t="shared" si="77"/>
        <v>83660</v>
      </c>
      <c r="J232" s="233">
        <f t="shared" si="78"/>
        <v>1742.9166666666667</v>
      </c>
      <c r="K232" s="233">
        <f t="shared" si="79"/>
        <v>105873.75000000001</v>
      </c>
      <c r="L232" s="175">
        <f t="shared" si="80"/>
        <v>111.78926528816542</v>
      </c>
      <c r="M232" s="294">
        <f t="shared" si="81"/>
        <v>130.09932927141469</v>
      </c>
    </row>
    <row r="233" spans="2:14" ht="12" hidden="1" customHeight="1">
      <c r="B233" s="265" t="s">
        <v>149</v>
      </c>
      <c r="C233" s="262" t="s">
        <v>149</v>
      </c>
      <c r="D233" s="464">
        <v>784000</v>
      </c>
      <c r="E233" s="291">
        <f t="shared" si="74"/>
        <v>544641.66666666663</v>
      </c>
      <c r="F233" s="292">
        <f t="shared" si="75"/>
        <v>108928.33333333333</v>
      </c>
      <c r="G233" s="469">
        <v>2870</v>
      </c>
      <c r="H233" s="293">
        <f t="shared" si="76"/>
        <v>172200</v>
      </c>
      <c r="I233" s="233">
        <f t="shared" si="77"/>
        <v>78360</v>
      </c>
      <c r="J233" s="233">
        <f t="shared" si="78"/>
        <v>1632.5</v>
      </c>
      <c r="K233" s="233">
        <f t="shared" si="79"/>
        <v>107295.83333333333</v>
      </c>
      <c r="L233" s="175">
        <f t="shared" si="80"/>
        <v>112.81730002541026</v>
      </c>
      <c r="M233" s="294">
        <f t="shared" si="81"/>
        <v>131.84680763913775</v>
      </c>
    </row>
    <row r="234" spans="2:14" s="88" customFormat="1" ht="12" hidden="1" customHeight="1">
      <c r="B234" s="265" t="s">
        <v>150</v>
      </c>
      <c r="C234" s="262" t="s">
        <v>150</v>
      </c>
      <c r="D234" s="464">
        <v>765200</v>
      </c>
      <c r="E234" s="291">
        <f t="shared" si="74"/>
        <v>550916.66666666663</v>
      </c>
      <c r="F234" s="292">
        <f t="shared" si="75"/>
        <v>110183.33333333333</v>
      </c>
      <c r="G234" s="469">
        <v>2881</v>
      </c>
      <c r="H234" s="293">
        <f t="shared" si="76"/>
        <v>172860</v>
      </c>
      <c r="I234" s="233">
        <f t="shared" si="77"/>
        <v>80060</v>
      </c>
      <c r="J234" s="233">
        <f t="shared" si="78"/>
        <v>1667.9166666666667</v>
      </c>
      <c r="K234" s="233">
        <f t="shared" si="79"/>
        <v>108515.41666666666</v>
      </c>
      <c r="L234" s="175">
        <f t="shared" si="80"/>
        <v>113.29258743692361</v>
      </c>
      <c r="M234" s="294">
        <f t="shared" si="81"/>
        <v>133.3454508217705</v>
      </c>
    </row>
    <row r="235" spans="2:14" s="88" customFormat="1" ht="12" hidden="1" customHeight="1">
      <c r="B235" s="265" t="s">
        <v>151</v>
      </c>
      <c r="C235" s="262" t="s">
        <v>151</v>
      </c>
      <c r="D235" s="464">
        <v>751900</v>
      </c>
      <c r="E235" s="291">
        <f t="shared" si="74"/>
        <v>557608.33333333337</v>
      </c>
      <c r="F235" s="292">
        <f t="shared" si="75"/>
        <v>111521.66666666669</v>
      </c>
      <c r="G235" s="469">
        <v>2893</v>
      </c>
      <c r="H235" s="293">
        <f t="shared" si="76"/>
        <v>173580</v>
      </c>
      <c r="I235" s="233">
        <f t="shared" si="77"/>
        <v>87440</v>
      </c>
      <c r="J235" s="233">
        <f t="shared" si="78"/>
        <v>1821.6666666666667</v>
      </c>
      <c r="K235" s="233">
        <f t="shared" si="79"/>
        <v>109700.00000000001</v>
      </c>
      <c r="L235" s="175">
        <f t="shared" si="80"/>
        <v>114.01499239986663</v>
      </c>
      <c r="M235" s="294">
        <f t="shared" si="81"/>
        <v>134.80108545389382</v>
      </c>
    </row>
    <row r="236" spans="2:14" s="88" customFormat="1" ht="12" hidden="1" customHeight="1">
      <c r="B236" s="265" t="s">
        <v>152</v>
      </c>
      <c r="C236" s="262" t="s">
        <v>152</v>
      </c>
      <c r="D236" s="464">
        <v>760400</v>
      </c>
      <c r="E236" s="291">
        <f t="shared" si="74"/>
        <v>564577.08333333337</v>
      </c>
      <c r="F236" s="292">
        <f t="shared" si="75"/>
        <v>112915.41666666669</v>
      </c>
      <c r="G236" s="469">
        <v>2758</v>
      </c>
      <c r="H236" s="293">
        <f t="shared" si="76"/>
        <v>165480</v>
      </c>
      <c r="I236" s="233">
        <f t="shared" si="77"/>
        <v>80300</v>
      </c>
      <c r="J236" s="233">
        <f t="shared" si="78"/>
        <v>1672.9166666666667</v>
      </c>
      <c r="K236" s="233">
        <f t="shared" si="79"/>
        <v>111242.50000000001</v>
      </c>
      <c r="L236" s="175">
        <f t="shared" si="80"/>
        <v>114.6386706170295</v>
      </c>
      <c r="M236" s="294">
        <f t="shared" si="81"/>
        <v>136.69653371563157</v>
      </c>
    </row>
    <row r="237" spans="2:14" ht="12" hidden="1" customHeight="1">
      <c r="B237" s="265" t="s">
        <v>153</v>
      </c>
      <c r="C237" s="262" t="s">
        <v>153</v>
      </c>
      <c r="D237" s="464">
        <v>738500</v>
      </c>
      <c r="E237" s="291">
        <f t="shared" si="74"/>
        <v>570875</v>
      </c>
      <c r="F237" s="292">
        <f t="shared" si="75"/>
        <v>114175</v>
      </c>
      <c r="G237" s="469">
        <v>2560</v>
      </c>
      <c r="H237" s="293">
        <f t="shared" si="76"/>
        <v>153600</v>
      </c>
      <c r="I237" s="233">
        <f t="shared" si="77"/>
        <v>66360</v>
      </c>
      <c r="J237" s="233">
        <f t="shared" si="78"/>
        <v>1382.5</v>
      </c>
      <c r="K237" s="233">
        <f t="shared" si="79"/>
        <v>112792.5</v>
      </c>
      <c r="L237" s="175">
        <f t="shared" si="80"/>
        <v>115.20410595124608</v>
      </c>
      <c r="M237" s="294">
        <f t="shared" si="81"/>
        <v>138.60119809533563</v>
      </c>
      <c r="N237" s="88"/>
    </row>
    <row r="238" spans="2:14" s="88" customFormat="1" ht="12" hidden="1" customHeight="1">
      <c r="B238" s="265" t="s">
        <v>154</v>
      </c>
      <c r="C238" s="262" t="s">
        <v>154</v>
      </c>
      <c r="D238" s="464">
        <v>748300</v>
      </c>
      <c r="E238" s="291">
        <f t="shared" si="74"/>
        <v>577339.58333333337</v>
      </c>
      <c r="F238" s="292">
        <f t="shared" si="75"/>
        <v>115467.91666666669</v>
      </c>
      <c r="G238" s="469">
        <v>2458</v>
      </c>
      <c r="H238" s="293">
        <f t="shared" si="76"/>
        <v>147480</v>
      </c>
      <c r="I238" s="233">
        <f t="shared" si="77"/>
        <v>59880</v>
      </c>
      <c r="J238" s="233">
        <f t="shared" si="78"/>
        <v>1247.5</v>
      </c>
      <c r="K238" s="233">
        <f t="shared" si="79"/>
        <v>114220.41666666669</v>
      </c>
      <c r="L238" s="175">
        <f t="shared" si="80"/>
        <v>116.17703150560695</v>
      </c>
      <c r="M238" s="294">
        <f t="shared" si="81"/>
        <v>140.35584455481032</v>
      </c>
    </row>
    <row r="239" spans="2:14" s="88" customFormat="1" ht="12" hidden="1" customHeight="1">
      <c r="B239" s="265" t="s">
        <v>155</v>
      </c>
      <c r="C239" s="262" t="s">
        <v>155</v>
      </c>
      <c r="D239" s="464">
        <v>755700</v>
      </c>
      <c r="E239" s="291">
        <f t="shared" si="74"/>
        <v>583806.25</v>
      </c>
      <c r="F239" s="292">
        <f t="shared" si="75"/>
        <v>116761.25</v>
      </c>
      <c r="G239" s="469">
        <v>2573</v>
      </c>
      <c r="H239" s="293">
        <f t="shared" si="76"/>
        <v>154380</v>
      </c>
      <c r="I239" s="233">
        <f t="shared" si="77"/>
        <v>65320</v>
      </c>
      <c r="J239" s="233">
        <f t="shared" si="78"/>
        <v>1360.8333333333333</v>
      </c>
      <c r="K239" s="233">
        <f t="shared" si="79"/>
        <v>115400.41666666667</v>
      </c>
      <c r="L239" s="175">
        <f t="shared" si="80"/>
        <v>115.86096399856093</v>
      </c>
      <c r="M239" s="294">
        <f t="shared" si="81"/>
        <v>141.80584711484306</v>
      </c>
    </row>
    <row r="240" spans="2:14" s="88" customFormat="1" ht="12" hidden="1" customHeight="1">
      <c r="B240" s="265" t="s">
        <v>156</v>
      </c>
      <c r="C240" s="262" t="s">
        <v>156</v>
      </c>
      <c r="D240" s="464">
        <v>736800</v>
      </c>
      <c r="E240" s="379">
        <f t="shared" ref="E240:E250" si="82">AVERAGE(D193:D240)</f>
        <v>589825</v>
      </c>
      <c r="F240" s="380">
        <f t="shared" ref="F240:F250" si="83">E240*0.2</f>
        <v>117965</v>
      </c>
      <c r="G240" s="471">
        <v>2564</v>
      </c>
      <c r="H240" s="428">
        <f t="shared" ref="H240:H253" si="84">G240*60</f>
        <v>153840</v>
      </c>
      <c r="I240" s="381">
        <f t="shared" ref="I240:I253" si="85">H240-D192*0.2</f>
        <v>64260</v>
      </c>
      <c r="J240" s="381">
        <f t="shared" ref="J240:J253" si="86">I240/48</f>
        <v>1338.75</v>
      </c>
      <c r="K240" s="381">
        <f t="shared" ref="K240:K253" si="87">F240-J240</f>
        <v>116626.25</v>
      </c>
      <c r="L240" s="382">
        <f t="shared" ref="L240:L253" si="88">K240/K228*100</f>
        <v>115.86731906015598</v>
      </c>
      <c r="M240" s="383">
        <f t="shared" ref="M240:M253" si="89">K240/$K$85*100</f>
        <v>143.31217039578107</v>
      </c>
    </row>
    <row r="241" spans="2:13" ht="12" hidden="1" customHeight="1">
      <c r="B241" s="395" t="s">
        <v>157</v>
      </c>
      <c r="C241" s="262" t="s">
        <v>157</v>
      </c>
      <c r="D241" s="467">
        <v>715200</v>
      </c>
      <c r="E241" s="291">
        <f t="shared" si="82"/>
        <v>595300</v>
      </c>
      <c r="F241" s="292">
        <f t="shared" si="83"/>
        <v>119060</v>
      </c>
      <c r="G241" s="469">
        <v>2485</v>
      </c>
      <c r="H241" s="293">
        <f t="shared" si="84"/>
        <v>149100</v>
      </c>
      <c r="I241" s="233">
        <f t="shared" si="85"/>
        <v>58620</v>
      </c>
      <c r="J241" s="233">
        <f t="shared" si="86"/>
        <v>1221.25</v>
      </c>
      <c r="K241" s="233">
        <f t="shared" si="87"/>
        <v>117838.75</v>
      </c>
      <c r="L241" s="175">
        <f t="shared" si="88"/>
        <v>115.27531517871337</v>
      </c>
      <c r="M241" s="294">
        <f t="shared" si="89"/>
        <v>144.80210946700117</v>
      </c>
    </row>
    <row r="242" spans="2:13" ht="12" hidden="1" customHeight="1">
      <c r="B242" s="258" t="s">
        <v>385</v>
      </c>
      <c r="C242" s="257" t="s">
        <v>386</v>
      </c>
      <c r="D242" s="343">
        <v>723300</v>
      </c>
      <c r="E242" s="344">
        <f t="shared" si="82"/>
        <v>600708.33333333337</v>
      </c>
      <c r="F242" s="345">
        <f t="shared" si="83"/>
        <v>120141.66666666669</v>
      </c>
      <c r="G242" s="302">
        <v>2491</v>
      </c>
      <c r="H242" s="302">
        <f t="shared" si="84"/>
        <v>149460</v>
      </c>
      <c r="I242" s="239">
        <f t="shared" si="85"/>
        <v>56720</v>
      </c>
      <c r="J242" s="239">
        <f t="shared" si="86"/>
        <v>1181.6666666666667</v>
      </c>
      <c r="K242" s="239">
        <f t="shared" si="87"/>
        <v>118960.00000000001</v>
      </c>
      <c r="L242" s="178">
        <f t="shared" si="88"/>
        <v>115.01776606801866</v>
      </c>
      <c r="M242" s="304">
        <f t="shared" si="89"/>
        <v>146.17991910296453</v>
      </c>
    </row>
    <row r="243" spans="2:13" ht="12" hidden="1" customHeight="1">
      <c r="B243" s="395" t="s">
        <v>147</v>
      </c>
      <c r="C243" s="262" t="s">
        <v>147</v>
      </c>
      <c r="D243" s="396">
        <v>763900</v>
      </c>
      <c r="E243" s="291">
        <f>AVERAGE(D196:D243)</f>
        <v>606316.66666666663</v>
      </c>
      <c r="F243" s="292">
        <f t="shared" si="83"/>
        <v>121263.33333333333</v>
      </c>
      <c r="G243" s="293">
        <v>2410</v>
      </c>
      <c r="H243" s="293">
        <f t="shared" si="84"/>
        <v>144600</v>
      </c>
      <c r="I243" s="233">
        <f t="shared" si="85"/>
        <v>45660</v>
      </c>
      <c r="J243" s="233">
        <f t="shared" si="86"/>
        <v>951.25</v>
      </c>
      <c r="K243" s="233">
        <f t="shared" si="87"/>
        <v>120312.08333333333</v>
      </c>
      <c r="L243" s="175">
        <f t="shared" si="88"/>
        <v>115.15551532022317</v>
      </c>
      <c r="M243" s="294">
        <f t="shared" si="89"/>
        <v>147.84138036966871</v>
      </c>
    </row>
    <row r="244" spans="2:13" ht="12" hidden="1" customHeight="1">
      <c r="B244" s="395" t="s">
        <v>148</v>
      </c>
      <c r="C244" s="262" t="s">
        <v>148</v>
      </c>
      <c r="D244" s="396">
        <v>771000</v>
      </c>
      <c r="E244" s="291">
        <f t="shared" si="82"/>
        <v>612314.58333333337</v>
      </c>
      <c r="F244" s="292">
        <f t="shared" si="83"/>
        <v>122462.91666666669</v>
      </c>
      <c r="G244" s="293">
        <v>2466</v>
      </c>
      <c r="H244" s="293">
        <f t="shared" si="84"/>
        <v>147960</v>
      </c>
      <c r="I244" s="233">
        <f t="shared" si="85"/>
        <v>51340</v>
      </c>
      <c r="J244" s="233">
        <f t="shared" si="86"/>
        <v>1069.5833333333333</v>
      </c>
      <c r="K244" s="233">
        <f t="shared" si="87"/>
        <v>121393.33333333336</v>
      </c>
      <c r="L244" s="175">
        <f t="shared" si="88"/>
        <v>114.65857526849983</v>
      </c>
      <c r="M244" s="294">
        <f t="shared" si="89"/>
        <v>149.17003737647846</v>
      </c>
    </row>
    <row r="245" spans="2:13" ht="12" hidden="1" customHeight="1">
      <c r="B245" s="395" t="s">
        <v>149</v>
      </c>
      <c r="C245" s="262" t="s">
        <v>149</v>
      </c>
      <c r="D245" s="396">
        <v>784400</v>
      </c>
      <c r="E245" s="291">
        <f t="shared" si="82"/>
        <v>618222.91666666663</v>
      </c>
      <c r="F245" s="292">
        <f t="shared" si="83"/>
        <v>123644.58333333333</v>
      </c>
      <c r="G245" s="293">
        <v>2599</v>
      </c>
      <c r="H245" s="293">
        <f t="shared" si="84"/>
        <v>155940</v>
      </c>
      <c r="I245" s="233">
        <f t="shared" si="85"/>
        <v>55780</v>
      </c>
      <c r="J245" s="233">
        <f t="shared" si="86"/>
        <v>1162.0833333333333</v>
      </c>
      <c r="K245" s="233">
        <f t="shared" si="87"/>
        <v>122482.5</v>
      </c>
      <c r="L245" s="175">
        <f t="shared" si="88"/>
        <v>114.15401343637141</v>
      </c>
      <c r="M245" s="294">
        <f t="shared" si="89"/>
        <v>150.50842250780809</v>
      </c>
    </row>
    <row r="246" spans="2:13" ht="12" hidden="1" customHeight="1">
      <c r="B246" s="395" t="s">
        <v>150</v>
      </c>
      <c r="C246" s="262" t="s">
        <v>150</v>
      </c>
      <c r="D246" s="396">
        <v>777200</v>
      </c>
      <c r="E246" s="291">
        <f t="shared" si="82"/>
        <v>624045.83333333337</v>
      </c>
      <c r="F246" s="292">
        <f t="shared" si="83"/>
        <v>124809.16666666669</v>
      </c>
      <c r="G246" s="293">
        <v>2799</v>
      </c>
      <c r="H246" s="293">
        <f t="shared" si="84"/>
        <v>167940</v>
      </c>
      <c r="I246" s="233">
        <f t="shared" si="85"/>
        <v>68400</v>
      </c>
      <c r="J246" s="233">
        <f t="shared" si="86"/>
        <v>1425</v>
      </c>
      <c r="K246" s="233">
        <f t="shared" si="87"/>
        <v>123384.16666666669</v>
      </c>
      <c r="L246" s="175">
        <f t="shared" si="88"/>
        <v>113.70197015017069</v>
      </c>
      <c r="M246" s="294">
        <f t="shared" si="89"/>
        <v>151.61640468998004</v>
      </c>
    </row>
    <row r="247" spans="2:13" s="88" customFormat="1" ht="12" hidden="1" customHeight="1">
      <c r="B247" s="395" t="s">
        <v>151</v>
      </c>
      <c r="C247" s="262" t="s">
        <v>151</v>
      </c>
      <c r="D247" s="396">
        <v>758900</v>
      </c>
      <c r="E247" s="291">
        <f t="shared" si="82"/>
        <v>629385.41666666663</v>
      </c>
      <c r="F247" s="292">
        <f t="shared" si="83"/>
        <v>125877.08333333333</v>
      </c>
      <c r="G247" s="293">
        <v>2942</v>
      </c>
      <c r="H247" s="293">
        <f t="shared" si="84"/>
        <v>176520</v>
      </c>
      <c r="I247" s="233">
        <f t="shared" si="85"/>
        <v>76000</v>
      </c>
      <c r="J247" s="233">
        <f t="shared" si="86"/>
        <v>1583.3333333333333</v>
      </c>
      <c r="K247" s="233">
        <f t="shared" si="87"/>
        <v>124293.75</v>
      </c>
      <c r="L247" s="175">
        <f t="shared" si="88"/>
        <v>113.30332725615312</v>
      </c>
      <c r="M247" s="294">
        <f t="shared" si="89"/>
        <v>152.73411499667196</v>
      </c>
    </row>
    <row r="248" spans="2:13" s="88" customFormat="1" ht="12" hidden="1" customHeight="1">
      <c r="B248" s="395" t="s">
        <v>152</v>
      </c>
      <c r="C248" s="262" t="s">
        <v>152</v>
      </c>
      <c r="D248" s="396">
        <v>748600</v>
      </c>
      <c r="E248" s="291">
        <f t="shared" si="82"/>
        <v>634939.58333333337</v>
      </c>
      <c r="F248" s="292">
        <f t="shared" si="83"/>
        <v>126987.91666666669</v>
      </c>
      <c r="G248" s="293">
        <v>2663</v>
      </c>
      <c r="H248" s="293">
        <f t="shared" si="84"/>
        <v>159780</v>
      </c>
      <c r="I248" s="233">
        <f t="shared" si="85"/>
        <v>63380</v>
      </c>
      <c r="J248" s="233">
        <f t="shared" si="86"/>
        <v>1320.4166666666667</v>
      </c>
      <c r="K248" s="233">
        <f t="shared" si="87"/>
        <v>125667.50000000001</v>
      </c>
      <c r="L248" s="175">
        <f t="shared" si="88"/>
        <v>112.96716632581972</v>
      </c>
      <c r="M248" s="294">
        <f t="shared" si="89"/>
        <v>154.42220060416773</v>
      </c>
    </row>
    <row r="249" spans="2:13" s="88" customFormat="1" ht="12" hidden="1" customHeight="1">
      <c r="B249" s="395" t="s">
        <v>153</v>
      </c>
      <c r="C249" s="262" t="s">
        <v>153</v>
      </c>
      <c r="D249" s="396">
        <v>746800</v>
      </c>
      <c r="E249" s="291">
        <f t="shared" si="82"/>
        <v>640639.58333333337</v>
      </c>
      <c r="F249" s="292">
        <f t="shared" si="83"/>
        <v>128127.91666666669</v>
      </c>
      <c r="G249" s="293">
        <v>2366</v>
      </c>
      <c r="H249" s="293">
        <f t="shared" si="84"/>
        <v>141960</v>
      </c>
      <c r="I249" s="233">
        <f t="shared" si="85"/>
        <v>47320</v>
      </c>
      <c r="J249" s="233">
        <f t="shared" si="86"/>
        <v>985.83333333333337</v>
      </c>
      <c r="K249" s="233">
        <f t="shared" si="87"/>
        <v>127142.08333333336</v>
      </c>
      <c r="L249" s="175">
        <f t="shared" si="88"/>
        <v>112.72210770515181</v>
      </c>
      <c r="M249" s="294">
        <f t="shared" si="89"/>
        <v>156.23419179765503</v>
      </c>
    </row>
    <row r="250" spans="2:13" s="88" customFormat="1" ht="12" hidden="1" customHeight="1">
      <c r="B250" s="395" t="s">
        <v>154</v>
      </c>
      <c r="C250" s="262" t="s">
        <v>154</v>
      </c>
      <c r="D250" s="396">
        <v>775300</v>
      </c>
      <c r="E250" s="291">
        <f t="shared" si="82"/>
        <v>646793.75</v>
      </c>
      <c r="F250" s="292">
        <f t="shared" si="83"/>
        <v>129358.75</v>
      </c>
      <c r="G250" s="293">
        <v>2349</v>
      </c>
      <c r="H250" s="293">
        <f t="shared" si="84"/>
        <v>140940</v>
      </c>
      <c r="I250" s="233">
        <f t="shared" si="85"/>
        <v>44960</v>
      </c>
      <c r="J250" s="233">
        <f t="shared" si="86"/>
        <v>936.66666666666663</v>
      </c>
      <c r="K250" s="233">
        <f t="shared" si="87"/>
        <v>128422.08333333333</v>
      </c>
      <c r="L250" s="175">
        <f t="shared" si="88"/>
        <v>112.43356230096046</v>
      </c>
      <c r="M250" s="294">
        <f t="shared" si="89"/>
        <v>157.8070759305719</v>
      </c>
    </row>
    <row r="251" spans="2:13" ht="12" hidden="1" customHeight="1">
      <c r="B251" s="395" t="s">
        <v>155</v>
      </c>
      <c r="C251" s="262" t="s">
        <v>155</v>
      </c>
      <c r="D251" s="396">
        <v>735500</v>
      </c>
      <c r="E251" s="291">
        <f t="shared" ref="E251:E254" si="90">AVERAGE(D204:D251)</f>
        <v>652422.91666666663</v>
      </c>
      <c r="F251" s="292">
        <f t="shared" ref="F251:F262" si="91">E251*0.2</f>
        <v>130484.58333333333</v>
      </c>
      <c r="G251" s="293">
        <v>2419</v>
      </c>
      <c r="H251" s="293">
        <f t="shared" si="84"/>
        <v>145140</v>
      </c>
      <c r="I251" s="233">
        <f t="shared" si="85"/>
        <v>52080</v>
      </c>
      <c r="J251" s="233">
        <f t="shared" si="86"/>
        <v>1085</v>
      </c>
      <c r="K251" s="233">
        <f t="shared" si="87"/>
        <v>129399.58333333333</v>
      </c>
      <c r="L251" s="175">
        <f t="shared" si="88"/>
        <v>112.130949844924</v>
      </c>
      <c r="M251" s="294">
        <f t="shared" si="89"/>
        <v>159.0082433055143</v>
      </c>
    </row>
    <row r="252" spans="2:13" ht="12" hidden="1" customHeight="1">
      <c r="B252" s="395" t="s">
        <v>156</v>
      </c>
      <c r="C252" s="262" t="s">
        <v>156</v>
      </c>
      <c r="D252" s="396">
        <v>757100</v>
      </c>
      <c r="E252" s="291">
        <f t="shared" si="90"/>
        <v>657931.25</v>
      </c>
      <c r="F252" s="292">
        <f t="shared" si="91"/>
        <v>131586.25</v>
      </c>
      <c r="G252" s="293">
        <v>2483</v>
      </c>
      <c r="H252" s="293">
        <f t="shared" si="84"/>
        <v>148980</v>
      </c>
      <c r="I252" s="233">
        <f t="shared" si="85"/>
        <v>50440</v>
      </c>
      <c r="J252" s="233">
        <f t="shared" si="86"/>
        <v>1050.8333333333333</v>
      </c>
      <c r="K252" s="233">
        <f t="shared" si="87"/>
        <v>130535.41666666667</v>
      </c>
      <c r="L252" s="175">
        <f t="shared" si="88"/>
        <v>111.9262744593663</v>
      </c>
      <c r="M252" s="294">
        <f t="shared" si="89"/>
        <v>160.40397317085657</v>
      </c>
    </row>
    <row r="253" spans="2:13" s="88" customFormat="1" ht="12" hidden="1" customHeight="1">
      <c r="B253" s="504" t="s">
        <v>157</v>
      </c>
      <c r="C253" s="505" t="s">
        <v>157</v>
      </c>
      <c r="D253" s="506">
        <v>762600</v>
      </c>
      <c r="E253" s="507">
        <f t="shared" si="90"/>
        <v>663639.58333333337</v>
      </c>
      <c r="F253" s="508">
        <f t="shared" si="91"/>
        <v>132727.91666666669</v>
      </c>
      <c r="G253" s="509">
        <v>2622</v>
      </c>
      <c r="H253" s="509">
        <f t="shared" si="84"/>
        <v>157320</v>
      </c>
      <c r="I253" s="510">
        <f t="shared" si="85"/>
        <v>59600</v>
      </c>
      <c r="J253" s="510">
        <f t="shared" si="86"/>
        <v>1241.6666666666667</v>
      </c>
      <c r="K253" s="510">
        <f t="shared" si="87"/>
        <v>131486.25000000003</v>
      </c>
      <c r="L253" s="511">
        <f t="shared" si="88"/>
        <v>111.58150438629062</v>
      </c>
      <c r="M253" s="512">
        <f t="shared" si="89"/>
        <v>161.57237212636323</v>
      </c>
    </row>
    <row r="254" spans="2:13" s="88" customFormat="1" ht="12" hidden="1" customHeight="1">
      <c r="B254" s="439" t="s">
        <v>388</v>
      </c>
      <c r="C254" s="264" t="s">
        <v>389</v>
      </c>
      <c r="D254" s="513">
        <v>773100</v>
      </c>
      <c r="E254" s="526">
        <f t="shared" si="90"/>
        <v>669504.16666666663</v>
      </c>
      <c r="F254" s="527">
        <f t="shared" si="91"/>
        <v>133900.83333333334</v>
      </c>
      <c r="G254" s="514">
        <v>2640</v>
      </c>
      <c r="H254" s="514">
        <f t="shared" ref="H254:H265" si="92">G254*60</f>
        <v>158400</v>
      </c>
      <c r="I254" s="335">
        <f t="shared" ref="I254:I265" si="93">H254-D206*0.2</f>
        <v>60080</v>
      </c>
      <c r="J254" s="335">
        <f t="shared" ref="J254:J265" si="94">I254/48</f>
        <v>1251.6666666666667</v>
      </c>
      <c r="K254" s="335">
        <f t="shared" ref="K254:K265" si="95">F254-J254</f>
        <v>132649.16666666669</v>
      </c>
      <c r="L254" s="341">
        <f t="shared" ref="L254:L265" si="96">K254/K242*100</f>
        <v>111.50736942389598</v>
      </c>
      <c r="M254" s="515">
        <f t="shared" ref="M254:M265" si="97">K254/$K$85*100</f>
        <v>163.00138241769494</v>
      </c>
    </row>
    <row r="255" spans="2:13" s="88" customFormat="1" ht="12" hidden="1" customHeight="1">
      <c r="B255" s="531" t="s">
        <v>390</v>
      </c>
      <c r="C255" s="262" t="s">
        <v>390</v>
      </c>
      <c r="D255" s="396">
        <v>816400</v>
      </c>
      <c r="E255" s="291">
        <f>AVERAGE(D208:D255)</f>
        <v>676031.25</v>
      </c>
      <c r="F255" s="292">
        <f t="shared" si="91"/>
        <v>135206.25</v>
      </c>
      <c r="G255" s="293">
        <v>2648</v>
      </c>
      <c r="H255" s="293">
        <f t="shared" si="92"/>
        <v>158880</v>
      </c>
      <c r="I255" s="233">
        <f t="shared" si="93"/>
        <v>58260</v>
      </c>
      <c r="J255" s="233">
        <f t="shared" si="94"/>
        <v>1213.75</v>
      </c>
      <c r="K255" s="233">
        <f t="shared" si="95"/>
        <v>133992.5</v>
      </c>
      <c r="L255" s="175">
        <f t="shared" si="96"/>
        <v>111.37077531004438</v>
      </c>
      <c r="M255" s="294">
        <f t="shared" si="97"/>
        <v>164.65209154677177</v>
      </c>
    </row>
    <row r="256" spans="2:13" s="88" customFormat="1" ht="12" hidden="1" customHeight="1">
      <c r="B256" s="531" t="s">
        <v>168</v>
      </c>
      <c r="C256" s="262" t="s">
        <v>168</v>
      </c>
      <c r="D256" s="396">
        <v>815800</v>
      </c>
      <c r="E256" s="291">
        <f t="shared" ref="E256:E266" si="98">AVERAGE(D209:D256)</f>
        <v>682287.5</v>
      </c>
      <c r="F256" s="292">
        <f t="shared" si="91"/>
        <v>136457.5</v>
      </c>
      <c r="G256" s="293">
        <v>2862</v>
      </c>
      <c r="H256" s="293">
        <f t="shared" si="92"/>
        <v>171720</v>
      </c>
      <c r="I256" s="233">
        <f t="shared" si="93"/>
        <v>68620</v>
      </c>
      <c r="J256" s="233">
        <f t="shared" si="94"/>
        <v>1429.5833333333333</v>
      </c>
      <c r="K256" s="233">
        <f t="shared" si="95"/>
        <v>135027.91666666666</v>
      </c>
      <c r="L256" s="175">
        <f t="shared" si="96"/>
        <v>111.23173979900048</v>
      </c>
      <c r="M256" s="294">
        <f t="shared" si="97"/>
        <v>165.92442783267626</v>
      </c>
    </row>
    <row r="257" spans="2:13" s="88" customFormat="1" ht="12" hidden="1" customHeight="1">
      <c r="B257" s="531" t="s">
        <v>391</v>
      </c>
      <c r="C257" s="262" t="s">
        <v>391</v>
      </c>
      <c r="D257" s="396">
        <v>819000</v>
      </c>
      <c r="E257" s="291">
        <f t="shared" si="98"/>
        <v>688841.66666666663</v>
      </c>
      <c r="F257" s="292">
        <f t="shared" si="91"/>
        <v>137768.33333333334</v>
      </c>
      <c r="G257" s="293">
        <v>3221</v>
      </c>
      <c r="H257" s="293">
        <f t="shared" si="92"/>
        <v>193260</v>
      </c>
      <c r="I257" s="233">
        <f t="shared" si="93"/>
        <v>92380</v>
      </c>
      <c r="J257" s="233">
        <f t="shared" si="94"/>
        <v>1924.5833333333333</v>
      </c>
      <c r="K257" s="233">
        <f t="shared" si="95"/>
        <v>135843.75</v>
      </c>
      <c r="L257" s="175">
        <f t="shared" si="96"/>
        <v>110.90870124303471</v>
      </c>
      <c r="M257" s="294">
        <f t="shared" si="97"/>
        <v>166.92693666478931</v>
      </c>
    </row>
    <row r="258" spans="2:13" s="88" customFormat="1" ht="12" hidden="1" customHeight="1">
      <c r="B258" s="531" t="s">
        <v>160</v>
      </c>
      <c r="C258" s="262" t="s">
        <v>392</v>
      </c>
      <c r="D258" s="396">
        <v>781200</v>
      </c>
      <c r="E258" s="291">
        <f t="shared" si="98"/>
        <v>694604.16666666663</v>
      </c>
      <c r="F258" s="292">
        <f t="shared" si="91"/>
        <v>138920.83333333334</v>
      </c>
      <c r="G258" s="293">
        <v>3181</v>
      </c>
      <c r="H258" s="293">
        <f t="shared" si="92"/>
        <v>190860</v>
      </c>
      <c r="I258" s="233">
        <f t="shared" si="93"/>
        <v>89940</v>
      </c>
      <c r="J258" s="233">
        <f t="shared" si="94"/>
        <v>1873.75</v>
      </c>
      <c r="K258" s="233">
        <f t="shared" si="95"/>
        <v>137047.08333333334</v>
      </c>
      <c r="L258" s="175">
        <f t="shared" si="96"/>
        <v>111.07347647253496</v>
      </c>
      <c r="M258" s="294">
        <f t="shared" si="97"/>
        <v>168.40561159182838</v>
      </c>
    </row>
    <row r="259" spans="2:13" s="88" customFormat="1" ht="12" hidden="1" customHeight="1">
      <c r="B259" s="531" t="s">
        <v>161</v>
      </c>
      <c r="C259" s="262" t="s">
        <v>161</v>
      </c>
      <c r="D259" s="396">
        <v>740400</v>
      </c>
      <c r="E259" s="291">
        <f t="shared" si="98"/>
        <v>699447.91666666663</v>
      </c>
      <c r="F259" s="292">
        <f t="shared" si="91"/>
        <v>139889.58333333334</v>
      </c>
      <c r="G259" s="293">
        <v>3201</v>
      </c>
      <c r="H259" s="293">
        <f t="shared" si="92"/>
        <v>192060</v>
      </c>
      <c r="I259" s="233">
        <f t="shared" si="93"/>
        <v>90480</v>
      </c>
      <c r="J259" s="233">
        <f t="shared" si="94"/>
        <v>1885</v>
      </c>
      <c r="K259" s="233">
        <f t="shared" si="95"/>
        <v>138004.58333333334</v>
      </c>
      <c r="L259" s="175">
        <f t="shared" si="96"/>
        <v>111.03099177016813</v>
      </c>
      <c r="M259" s="294">
        <f t="shared" si="97"/>
        <v>169.58220265219396</v>
      </c>
    </row>
    <row r="260" spans="2:13" s="88" customFormat="1" ht="12" hidden="1" customHeight="1">
      <c r="B260" s="531" t="s">
        <v>393</v>
      </c>
      <c r="C260" s="262" t="s">
        <v>393</v>
      </c>
      <c r="D260" s="396">
        <v>722800</v>
      </c>
      <c r="E260" s="291">
        <f t="shared" si="98"/>
        <v>704214.58333333337</v>
      </c>
      <c r="F260" s="292">
        <f t="shared" si="91"/>
        <v>140842.91666666669</v>
      </c>
      <c r="G260" s="293">
        <v>3269</v>
      </c>
      <c r="H260" s="293">
        <f t="shared" si="92"/>
        <v>196140</v>
      </c>
      <c r="I260" s="233">
        <f t="shared" si="93"/>
        <v>97340</v>
      </c>
      <c r="J260" s="233">
        <f t="shared" si="94"/>
        <v>2027.9166666666667</v>
      </c>
      <c r="K260" s="233">
        <f t="shared" si="95"/>
        <v>138815.00000000003</v>
      </c>
      <c r="L260" s="175">
        <f t="shared" si="96"/>
        <v>110.46213221397738</v>
      </c>
      <c r="M260" s="294">
        <f t="shared" si="97"/>
        <v>170.57805539910913</v>
      </c>
    </row>
    <row r="261" spans="2:13" s="88" customFormat="1" ht="12" hidden="1" customHeight="1">
      <c r="B261" s="531" t="s">
        <v>394</v>
      </c>
      <c r="C261" s="262" t="s">
        <v>394</v>
      </c>
      <c r="D261" s="396">
        <v>702300</v>
      </c>
      <c r="E261" s="291">
        <f t="shared" si="98"/>
        <v>708310.41666666663</v>
      </c>
      <c r="F261" s="292">
        <f t="shared" si="91"/>
        <v>141662.08333333334</v>
      </c>
      <c r="G261" s="293">
        <v>3111</v>
      </c>
      <c r="H261" s="293">
        <f t="shared" si="92"/>
        <v>186660</v>
      </c>
      <c r="I261" s="233">
        <f t="shared" si="93"/>
        <v>85520</v>
      </c>
      <c r="J261" s="233">
        <f t="shared" si="94"/>
        <v>1781.6666666666667</v>
      </c>
      <c r="K261" s="233">
        <f t="shared" si="95"/>
        <v>139880.41666666669</v>
      </c>
      <c r="L261" s="175">
        <f t="shared" si="96"/>
        <v>110.01897483458467</v>
      </c>
      <c r="M261" s="294">
        <f t="shared" si="97"/>
        <v>171.88725615687883</v>
      </c>
    </row>
    <row r="262" spans="2:13" s="88" customFormat="1" ht="12" hidden="1" customHeight="1">
      <c r="B262" s="531" t="s">
        <v>164</v>
      </c>
      <c r="C262" s="262" t="s">
        <v>164</v>
      </c>
      <c r="D262" s="396">
        <v>704300</v>
      </c>
      <c r="E262" s="291">
        <f t="shared" si="98"/>
        <v>712422.91666666663</v>
      </c>
      <c r="F262" s="292">
        <f t="shared" si="91"/>
        <v>142484.58333333334</v>
      </c>
      <c r="G262" s="293">
        <v>3078</v>
      </c>
      <c r="H262" s="293">
        <f t="shared" si="92"/>
        <v>184680</v>
      </c>
      <c r="I262" s="233">
        <f t="shared" si="93"/>
        <v>83300</v>
      </c>
      <c r="J262" s="233">
        <f t="shared" si="94"/>
        <v>1735.4166666666667</v>
      </c>
      <c r="K262" s="233">
        <f t="shared" si="95"/>
        <v>140749.16666666669</v>
      </c>
      <c r="L262" s="175">
        <f t="shared" si="96"/>
        <v>109.59888129313171</v>
      </c>
      <c r="M262" s="294">
        <f t="shared" si="97"/>
        <v>172.95478982130973</v>
      </c>
    </row>
    <row r="263" spans="2:13" s="88" customFormat="1" ht="12" hidden="1" customHeight="1">
      <c r="B263" s="531" t="s">
        <v>165</v>
      </c>
      <c r="C263" s="262" t="s">
        <v>165</v>
      </c>
      <c r="D263" s="396">
        <v>688500</v>
      </c>
      <c r="E263" s="291">
        <f t="shared" si="98"/>
        <v>715966.66666666663</v>
      </c>
      <c r="F263" s="292">
        <f t="shared" ref="F263:F274" si="99">E263*0.2</f>
        <v>143193.33333333334</v>
      </c>
      <c r="G263" s="293">
        <v>3197</v>
      </c>
      <c r="H263" s="293">
        <f t="shared" si="92"/>
        <v>191820</v>
      </c>
      <c r="I263" s="233">
        <f t="shared" si="93"/>
        <v>88140</v>
      </c>
      <c r="J263" s="233">
        <f t="shared" si="94"/>
        <v>1836.25</v>
      </c>
      <c r="K263" s="233">
        <f t="shared" si="95"/>
        <v>141357.08333333334</v>
      </c>
      <c r="L263" s="175">
        <f t="shared" si="96"/>
        <v>109.24075618481513</v>
      </c>
      <c r="M263" s="294">
        <f t="shared" si="97"/>
        <v>173.70180738313451</v>
      </c>
    </row>
    <row r="264" spans="2:13" ht="12" hidden="1" customHeight="1">
      <c r="B264" s="531" t="s">
        <v>166</v>
      </c>
      <c r="C264" s="262" t="s">
        <v>166</v>
      </c>
      <c r="D264" s="396">
        <v>684400</v>
      </c>
      <c r="E264" s="291">
        <f t="shared" si="98"/>
        <v>718879.16666666663</v>
      </c>
      <c r="F264" s="292">
        <f t="shared" si="99"/>
        <v>143775.83333333334</v>
      </c>
      <c r="G264" s="293">
        <v>2885</v>
      </c>
      <c r="H264" s="293">
        <f t="shared" si="92"/>
        <v>173100</v>
      </c>
      <c r="I264" s="233">
        <f t="shared" si="93"/>
        <v>64180</v>
      </c>
      <c r="J264" s="233">
        <f t="shared" si="94"/>
        <v>1337.0833333333333</v>
      </c>
      <c r="K264" s="233">
        <f t="shared" si="95"/>
        <v>142438.75</v>
      </c>
      <c r="L264" s="175">
        <f t="shared" si="96"/>
        <v>109.11885344015832</v>
      </c>
      <c r="M264" s="294">
        <f t="shared" si="97"/>
        <v>175.03097639649786</v>
      </c>
    </row>
    <row r="265" spans="2:13" s="88" customFormat="1" ht="12" hidden="1" customHeight="1">
      <c r="B265" s="531" t="s">
        <v>167</v>
      </c>
      <c r="C265" s="262" t="s">
        <v>167</v>
      </c>
      <c r="D265" s="544">
        <v>672100</v>
      </c>
      <c r="E265" s="291">
        <f t="shared" si="98"/>
        <v>721218.75</v>
      </c>
      <c r="F265" s="292">
        <f t="shared" si="99"/>
        <v>144243.75</v>
      </c>
      <c r="G265" s="293">
        <v>2998</v>
      </c>
      <c r="H265" s="293">
        <f t="shared" si="92"/>
        <v>179880</v>
      </c>
      <c r="I265" s="233">
        <f t="shared" si="93"/>
        <v>67920</v>
      </c>
      <c r="J265" s="233">
        <f t="shared" si="94"/>
        <v>1415</v>
      </c>
      <c r="K265" s="233">
        <f t="shared" si="95"/>
        <v>142828.75</v>
      </c>
      <c r="L265" s="175">
        <f t="shared" si="96"/>
        <v>108.62637728279572</v>
      </c>
      <c r="M265" s="294">
        <f t="shared" si="97"/>
        <v>175.51021453074597</v>
      </c>
    </row>
    <row r="266" spans="2:13" s="88" customFormat="1" ht="12" customHeight="1">
      <c r="B266" s="439" t="s">
        <v>395</v>
      </c>
      <c r="C266" s="264" t="s">
        <v>396</v>
      </c>
      <c r="D266" s="343">
        <v>707600</v>
      </c>
      <c r="E266" s="309">
        <f t="shared" si="98"/>
        <v>723920.83333333337</v>
      </c>
      <c r="F266" s="303">
        <f t="shared" si="99"/>
        <v>144784.16666666669</v>
      </c>
      <c r="G266" s="559">
        <v>3517</v>
      </c>
      <c r="H266" s="302">
        <f t="shared" ref="H266:H277" si="100">G266*60</f>
        <v>211020</v>
      </c>
      <c r="I266" s="239">
        <f t="shared" ref="I266:I277" si="101">H266-D218*0.2</f>
        <v>95440</v>
      </c>
      <c r="J266" s="239">
        <f t="shared" ref="J266:J277" si="102">I266/48</f>
        <v>1988.3333333333333</v>
      </c>
      <c r="K266" s="239">
        <f t="shared" ref="K266:K277" si="103">F266-J266</f>
        <v>142795.83333333334</v>
      </c>
      <c r="L266" s="178">
        <f t="shared" ref="L266:L277" si="104">K266/K254*100</f>
        <v>107.64925021516656</v>
      </c>
      <c r="M266" s="304">
        <f t="shared" ref="M266:M277" si="105">K266/$K$85*100</f>
        <v>175.46976601300497</v>
      </c>
    </row>
    <row r="267" spans="2:13" s="88" customFormat="1" ht="12" customHeight="1">
      <c r="B267" s="531" t="s">
        <v>390</v>
      </c>
      <c r="C267" s="262" t="s">
        <v>390</v>
      </c>
      <c r="D267" s="544">
        <v>716800</v>
      </c>
      <c r="E267" s="291">
        <f>AVERAGE(D220:D267)</f>
        <v>726127.08333333337</v>
      </c>
      <c r="F267" s="292">
        <f t="shared" si="99"/>
        <v>145225.41666666669</v>
      </c>
      <c r="G267" s="560">
        <v>3480</v>
      </c>
      <c r="H267" s="293">
        <f t="shared" si="100"/>
        <v>208800</v>
      </c>
      <c r="I267" s="233">
        <f t="shared" si="101"/>
        <v>86620</v>
      </c>
      <c r="J267" s="233">
        <f t="shared" si="102"/>
        <v>1804.5833333333333</v>
      </c>
      <c r="K267" s="233">
        <f t="shared" si="103"/>
        <v>143420.83333333334</v>
      </c>
      <c r="L267" s="175">
        <f t="shared" si="104"/>
        <v>107.0364634836527</v>
      </c>
      <c r="M267" s="294">
        <f t="shared" si="105"/>
        <v>176.23777584353078</v>
      </c>
    </row>
    <row r="268" spans="2:13" s="88" customFormat="1" ht="12" customHeight="1">
      <c r="B268" s="531" t="s">
        <v>148</v>
      </c>
      <c r="C268" s="262" t="s">
        <v>148</v>
      </c>
      <c r="D268" s="544">
        <v>728800</v>
      </c>
      <c r="E268" s="291">
        <f t="shared" ref="E268:E278" si="106">AVERAGE(D221:D268)</f>
        <v>728202.08333333337</v>
      </c>
      <c r="F268" s="292">
        <f t="shared" si="99"/>
        <v>145640.41666666669</v>
      </c>
      <c r="G268" s="560">
        <v>3275</v>
      </c>
      <c r="H268" s="293">
        <f t="shared" si="100"/>
        <v>196500</v>
      </c>
      <c r="I268" s="233">
        <f t="shared" si="101"/>
        <v>70660</v>
      </c>
      <c r="J268" s="233">
        <f t="shared" si="102"/>
        <v>1472.0833333333333</v>
      </c>
      <c r="K268" s="233">
        <f t="shared" si="103"/>
        <v>144168.33333333334</v>
      </c>
      <c r="L268" s="175">
        <f t="shared" si="104"/>
        <v>106.76927919226583</v>
      </c>
      <c r="M268" s="294">
        <f t="shared" si="105"/>
        <v>177.15631560083969</v>
      </c>
    </row>
    <row r="269" spans="2:13" s="88" customFormat="1" ht="12" customHeight="1">
      <c r="B269" s="531" t="s">
        <v>149</v>
      </c>
      <c r="C269" s="262" t="s">
        <v>149</v>
      </c>
      <c r="D269" s="544">
        <v>671100</v>
      </c>
      <c r="E269" s="291">
        <f t="shared" si="106"/>
        <v>729162.5</v>
      </c>
      <c r="F269" s="292">
        <f t="shared" si="99"/>
        <v>145832.5</v>
      </c>
      <c r="G269" s="560">
        <v>3384</v>
      </c>
      <c r="H269" s="293">
        <f t="shared" si="100"/>
        <v>203040</v>
      </c>
      <c r="I269" s="233">
        <f t="shared" si="101"/>
        <v>78040</v>
      </c>
      <c r="J269" s="233">
        <f t="shared" si="102"/>
        <v>1625.8333333333333</v>
      </c>
      <c r="K269" s="233">
        <f t="shared" si="103"/>
        <v>144206.66666666666</v>
      </c>
      <c r="L269" s="175">
        <f t="shared" si="104"/>
        <v>106.15627635917491</v>
      </c>
      <c r="M269" s="294">
        <f t="shared" si="105"/>
        <v>177.20342020377859</v>
      </c>
    </row>
    <row r="270" spans="2:13" s="88" customFormat="1" ht="12" customHeight="1">
      <c r="B270" s="531" t="s">
        <v>150</v>
      </c>
      <c r="C270" s="262" t="s">
        <v>150</v>
      </c>
      <c r="D270" s="544">
        <v>636400</v>
      </c>
      <c r="E270" s="291">
        <f t="shared" si="106"/>
        <v>729556.25</v>
      </c>
      <c r="F270" s="292">
        <f t="shared" si="99"/>
        <v>145911.25</v>
      </c>
      <c r="G270" s="560">
        <v>3462</v>
      </c>
      <c r="H270" s="293">
        <f t="shared" si="100"/>
        <v>207720</v>
      </c>
      <c r="I270" s="233">
        <f t="shared" si="101"/>
        <v>84220</v>
      </c>
      <c r="J270" s="233">
        <f t="shared" si="102"/>
        <v>1754.5833333333333</v>
      </c>
      <c r="K270" s="233">
        <f t="shared" si="103"/>
        <v>144156.66666666666</v>
      </c>
      <c r="L270" s="175">
        <f t="shared" si="104"/>
        <v>105.18769401027018</v>
      </c>
      <c r="M270" s="294">
        <f t="shared" si="105"/>
        <v>177.14197941733653</v>
      </c>
    </row>
    <row r="271" spans="2:13" s="88" customFormat="1" ht="12" customHeight="1">
      <c r="B271" s="531" t="s">
        <v>151</v>
      </c>
      <c r="C271" s="262" t="s">
        <v>151</v>
      </c>
      <c r="D271" s="544">
        <v>630400</v>
      </c>
      <c r="E271" s="291">
        <f t="shared" si="106"/>
        <v>730181.25</v>
      </c>
      <c r="F271" s="292">
        <f t="shared" si="99"/>
        <v>146036.25</v>
      </c>
      <c r="G271" s="560">
        <v>3353</v>
      </c>
      <c r="H271" s="293">
        <f t="shared" si="100"/>
        <v>201180</v>
      </c>
      <c r="I271" s="233">
        <f t="shared" si="101"/>
        <v>81100</v>
      </c>
      <c r="J271" s="233">
        <f t="shared" si="102"/>
        <v>1689.5833333333333</v>
      </c>
      <c r="K271" s="233">
        <f t="shared" si="103"/>
        <v>144346.66666666666</v>
      </c>
      <c r="L271" s="175">
        <f t="shared" si="104"/>
        <v>104.59555993007477</v>
      </c>
      <c r="M271" s="294">
        <f t="shared" si="105"/>
        <v>177.37545440581636</v>
      </c>
    </row>
    <row r="272" spans="2:13" s="88" customFormat="1" ht="12" customHeight="1">
      <c r="B272" s="531" t="s">
        <v>152</v>
      </c>
      <c r="C272" s="262" t="s">
        <v>152</v>
      </c>
      <c r="D272" s="544">
        <v>608100</v>
      </c>
      <c r="E272" s="291">
        <f t="shared" si="106"/>
        <v>730360.41666666663</v>
      </c>
      <c r="F272" s="292">
        <f t="shared" si="99"/>
        <v>146072.08333333334</v>
      </c>
      <c r="G272" s="560">
        <v>3358</v>
      </c>
      <c r="H272" s="293">
        <f t="shared" si="100"/>
        <v>201480</v>
      </c>
      <c r="I272" s="233">
        <f t="shared" si="101"/>
        <v>81580</v>
      </c>
      <c r="J272" s="233">
        <f t="shared" si="102"/>
        <v>1699.5833333333333</v>
      </c>
      <c r="K272" s="233">
        <f t="shared" si="103"/>
        <v>144372.5</v>
      </c>
      <c r="L272" s="175">
        <f t="shared" si="104"/>
        <v>104.00352987789503</v>
      </c>
      <c r="M272" s="294">
        <f t="shared" si="105"/>
        <v>177.4071988121448</v>
      </c>
    </row>
    <row r="273" spans="2:13" s="88" customFormat="1" ht="12" customHeight="1">
      <c r="B273" s="531" t="s">
        <v>153</v>
      </c>
      <c r="C273" s="262" t="s">
        <v>153</v>
      </c>
      <c r="D273" s="544">
        <v>598400</v>
      </c>
      <c r="E273" s="291">
        <f t="shared" si="106"/>
        <v>730156.25</v>
      </c>
      <c r="F273" s="292">
        <f t="shared" si="99"/>
        <v>146031.25</v>
      </c>
      <c r="G273" s="560">
        <v>3409</v>
      </c>
      <c r="H273" s="293">
        <f t="shared" si="100"/>
        <v>204540</v>
      </c>
      <c r="I273" s="233">
        <f t="shared" si="101"/>
        <v>82900</v>
      </c>
      <c r="J273" s="233">
        <f t="shared" si="102"/>
        <v>1727.0833333333333</v>
      </c>
      <c r="K273" s="233">
        <f t="shared" si="103"/>
        <v>144304.16666666666</v>
      </c>
      <c r="L273" s="175">
        <f t="shared" si="104"/>
        <v>103.16252275008711</v>
      </c>
      <c r="M273" s="294">
        <f t="shared" si="105"/>
        <v>177.32322973734063</v>
      </c>
    </row>
    <row r="274" spans="2:13" s="88" customFormat="1" ht="12" customHeight="1">
      <c r="B274" s="531" t="s">
        <v>154</v>
      </c>
      <c r="C274" s="262" t="s">
        <v>154</v>
      </c>
      <c r="D274" s="544">
        <v>609600</v>
      </c>
      <c r="E274" s="291">
        <f t="shared" si="106"/>
        <v>729752.08333333337</v>
      </c>
      <c r="F274" s="292">
        <f t="shared" si="99"/>
        <v>145950.41666666669</v>
      </c>
      <c r="G274" s="560">
        <v>3188</v>
      </c>
      <c r="H274" s="293">
        <f t="shared" si="100"/>
        <v>191280</v>
      </c>
      <c r="I274" s="233">
        <f t="shared" si="101"/>
        <v>65480</v>
      </c>
      <c r="J274" s="233">
        <f t="shared" si="102"/>
        <v>1364.1666666666667</v>
      </c>
      <c r="K274" s="233">
        <f t="shared" si="103"/>
        <v>144586.25000000003</v>
      </c>
      <c r="L274" s="175">
        <f t="shared" si="104"/>
        <v>102.72618547179084</v>
      </c>
      <c r="M274" s="294">
        <f t="shared" si="105"/>
        <v>177.66985817418467</v>
      </c>
    </row>
    <row r="275" spans="2:13" s="88" customFormat="1" ht="12" customHeight="1">
      <c r="B275" s="531" t="s">
        <v>155</v>
      </c>
      <c r="C275" s="262" t="s">
        <v>155</v>
      </c>
      <c r="D275" s="544">
        <v>605500</v>
      </c>
      <c r="E275" s="291">
        <f t="shared" si="106"/>
        <v>728712.5</v>
      </c>
      <c r="F275" s="292">
        <f t="shared" ref="F275:F286" si="107">E275*0.2</f>
        <v>145742.5</v>
      </c>
      <c r="G275" s="560">
        <v>3145</v>
      </c>
      <c r="H275" s="293">
        <f t="shared" si="100"/>
        <v>188700</v>
      </c>
      <c r="I275" s="233">
        <f t="shared" si="101"/>
        <v>57620</v>
      </c>
      <c r="J275" s="233">
        <f t="shared" si="102"/>
        <v>1200.4166666666667</v>
      </c>
      <c r="K275" s="233">
        <f t="shared" si="103"/>
        <v>144542.08333333334</v>
      </c>
      <c r="L275" s="175">
        <f t="shared" si="104"/>
        <v>102.25315910946568</v>
      </c>
      <c r="M275" s="294">
        <f t="shared" si="105"/>
        <v>177.61558547949414</v>
      </c>
    </row>
    <row r="276" spans="2:13" ht="12" customHeight="1">
      <c r="B276" s="531" t="s">
        <v>156</v>
      </c>
      <c r="C276" s="262" t="s">
        <v>156</v>
      </c>
      <c r="D276" s="544">
        <v>638900</v>
      </c>
      <c r="E276" s="291">
        <f t="shared" si="106"/>
        <v>727927.08333333337</v>
      </c>
      <c r="F276" s="292">
        <f t="shared" si="107"/>
        <v>145585.41666666669</v>
      </c>
      <c r="G276" s="560">
        <v>3132</v>
      </c>
      <c r="H276" s="293">
        <f t="shared" si="100"/>
        <v>187920</v>
      </c>
      <c r="I276" s="233">
        <f t="shared" si="101"/>
        <v>52600</v>
      </c>
      <c r="J276" s="233">
        <f t="shared" si="102"/>
        <v>1095.8333333333333</v>
      </c>
      <c r="K276" s="233">
        <f t="shared" si="103"/>
        <v>144489.58333333334</v>
      </c>
      <c r="L276" s="175">
        <f t="shared" si="104"/>
        <v>101.43980014801683</v>
      </c>
      <c r="M276" s="294">
        <f t="shared" si="105"/>
        <v>177.55107265372999</v>
      </c>
    </row>
    <row r="277" spans="2:13" s="88" customFormat="1" ht="12" customHeight="1">
      <c r="B277" s="387" t="s">
        <v>157</v>
      </c>
      <c r="C277" s="263" t="s">
        <v>157</v>
      </c>
      <c r="D277" s="305">
        <v>692900</v>
      </c>
      <c r="E277" s="310">
        <f t="shared" si="106"/>
        <v>727356.25</v>
      </c>
      <c r="F277" s="307">
        <f t="shared" si="107"/>
        <v>145471.25</v>
      </c>
      <c r="G277" s="561">
        <v>3244</v>
      </c>
      <c r="H277" s="306">
        <f t="shared" si="100"/>
        <v>194640</v>
      </c>
      <c r="I277" s="235">
        <f t="shared" si="101"/>
        <v>50580</v>
      </c>
      <c r="J277" s="235">
        <f t="shared" si="102"/>
        <v>1053.75</v>
      </c>
      <c r="K277" s="235">
        <f t="shared" si="103"/>
        <v>144417.5</v>
      </c>
      <c r="L277" s="182">
        <f t="shared" si="104"/>
        <v>101.11234607878316</v>
      </c>
      <c r="M277" s="308">
        <f t="shared" si="105"/>
        <v>177.46249551994265</v>
      </c>
    </row>
    <row r="278" spans="2:13" s="88" customFormat="1" ht="12" customHeight="1">
      <c r="B278" s="531" t="s">
        <v>397</v>
      </c>
      <c r="C278" s="262" t="s">
        <v>398</v>
      </c>
      <c r="D278" s="544">
        <v>696600</v>
      </c>
      <c r="E278" s="291">
        <f t="shared" si="106"/>
        <v>726414.58333333337</v>
      </c>
      <c r="F278" s="292">
        <f t="shared" si="107"/>
        <v>145282.91666666669</v>
      </c>
      <c r="G278" s="560">
        <v>3290</v>
      </c>
      <c r="H278" s="293">
        <f t="shared" ref="H278:H289" si="108">G278*60</f>
        <v>197400</v>
      </c>
      <c r="I278" s="233">
        <f t="shared" ref="I278:I289" si="109">H278-D230*0.2</f>
        <v>49040</v>
      </c>
      <c r="J278" s="233">
        <f t="shared" ref="J278:J289" si="110">I278/48</f>
        <v>1021.6666666666666</v>
      </c>
      <c r="K278" s="233">
        <f t="shared" ref="K278:K289" si="111">F278-J278</f>
        <v>144261.25000000003</v>
      </c>
      <c r="L278" s="175">
        <f t="shared" ref="L278:L289" si="112">K278/K266*100</f>
        <v>101.02623209127253</v>
      </c>
      <c r="M278" s="294">
        <f t="shared" ref="M278:M289" si="113">K278/$K$85*100</f>
        <v>177.27049306231123</v>
      </c>
    </row>
    <row r="279" spans="2:13" s="88" customFormat="1" ht="12" customHeight="1">
      <c r="B279" s="531" t="s">
        <v>390</v>
      </c>
      <c r="C279" s="262" t="s">
        <v>390</v>
      </c>
      <c r="D279" s="396">
        <v>702900</v>
      </c>
      <c r="E279" s="291">
        <f>AVERAGE(D232:D279)</f>
        <v>725233.33333333337</v>
      </c>
      <c r="F279" s="292">
        <f t="shared" si="107"/>
        <v>145046.66666666669</v>
      </c>
      <c r="G279" s="560">
        <v>3188</v>
      </c>
      <c r="H279" s="293">
        <f t="shared" si="108"/>
        <v>191280</v>
      </c>
      <c r="I279" s="233">
        <f t="shared" si="109"/>
        <v>39360</v>
      </c>
      <c r="J279" s="233">
        <f t="shared" si="110"/>
        <v>820</v>
      </c>
      <c r="K279" s="233">
        <f t="shared" si="111"/>
        <v>144226.66666666669</v>
      </c>
      <c r="L279" s="175">
        <f t="shared" si="112"/>
        <v>100.56186630254787</v>
      </c>
      <c r="M279" s="294">
        <f t="shared" si="113"/>
        <v>177.22799651835547</v>
      </c>
    </row>
    <row r="280" spans="2:13" s="88" customFormat="1" ht="12" customHeight="1">
      <c r="B280" s="395" t="s">
        <v>148</v>
      </c>
      <c r="C280" s="262" t="s">
        <v>148</v>
      </c>
      <c r="D280" s="396">
        <v>693900</v>
      </c>
      <c r="E280" s="291">
        <f t="shared" ref="E280:E290" si="114">AVERAGE(D233:D280)</f>
        <v>723308.33333333337</v>
      </c>
      <c r="F280" s="292">
        <f t="shared" si="107"/>
        <v>144661.66666666669</v>
      </c>
      <c r="G280" s="560">
        <v>3343</v>
      </c>
      <c r="H280" s="293">
        <f t="shared" si="108"/>
        <v>200580</v>
      </c>
      <c r="I280" s="233">
        <f t="shared" si="109"/>
        <v>43320</v>
      </c>
      <c r="J280" s="233">
        <f t="shared" si="110"/>
        <v>902.5</v>
      </c>
      <c r="K280" s="233">
        <f t="shared" si="111"/>
        <v>143759.16666666669</v>
      </c>
      <c r="L280" s="175">
        <f t="shared" si="112"/>
        <v>99.716188252158943</v>
      </c>
      <c r="M280" s="294">
        <f t="shared" si="113"/>
        <v>176.65352516512212</v>
      </c>
    </row>
    <row r="281" spans="2:13" s="88" customFormat="1" ht="12" customHeight="1">
      <c r="B281" s="395" t="s">
        <v>149</v>
      </c>
      <c r="C281" s="262" t="s">
        <v>149</v>
      </c>
      <c r="D281" s="396">
        <v>702500</v>
      </c>
      <c r="E281" s="291">
        <f t="shared" si="114"/>
        <v>721610.41666666663</v>
      </c>
      <c r="F281" s="292">
        <f t="shared" si="107"/>
        <v>144322.08333333334</v>
      </c>
      <c r="G281" s="560">
        <v>3479</v>
      </c>
      <c r="H281" s="293">
        <f t="shared" si="108"/>
        <v>208740</v>
      </c>
      <c r="I281" s="233">
        <f t="shared" si="109"/>
        <v>51940</v>
      </c>
      <c r="J281" s="233">
        <f t="shared" si="110"/>
        <v>1082.0833333333333</v>
      </c>
      <c r="K281" s="233">
        <f t="shared" si="111"/>
        <v>143240</v>
      </c>
      <c r="L281" s="175">
        <f t="shared" si="112"/>
        <v>99.329665757477699</v>
      </c>
      <c r="M281" s="294">
        <f t="shared" si="113"/>
        <v>176.015564999232</v>
      </c>
    </row>
    <row r="282" spans="2:13" s="88" customFormat="1" ht="12" customHeight="1">
      <c r="B282" s="395" t="s">
        <v>150</v>
      </c>
      <c r="C282" s="262" t="s">
        <v>150</v>
      </c>
      <c r="D282" s="396">
        <v>622800</v>
      </c>
      <c r="E282" s="291">
        <f t="shared" si="114"/>
        <v>718643.75</v>
      </c>
      <c r="F282" s="292">
        <f t="shared" si="107"/>
        <v>143728.75</v>
      </c>
      <c r="G282" s="560">
        <v>3657</v>
      </c>
      <c r="H282" s="293">
        <f t="shared" si="108"/>
        <v>219420</v>
      </c>
      <c r="I282" s="233">
        <f t="shared" si="109"/>
        <v>66380</v>
      </c>
      <c r="J282" s="233">
        <f t="shared" si="110"/>
        <v>1382.9166666666667</v>
      </c>
      <c r="K282" s="233">
        <f t="shared" si="111"/>
        <v>142345.83333333334</v>
      </c>
      <c r="L282" s="175">
        <f t="shared" si="112"/>
        <v>98.743843503595642</v>
      </c>
      <c r="M282" s="294">
        <f t="shared" si="113"/>
        <v>174.91679893502635</v>
      </c>
    </row>
    <row r="283" spans="2:13" s="88" customFormat="1" ht="12" customHeight="1">
      <c r="B283" s="395" t="s">
        <v>151</v>
      </c>
      <c r="C283" s="262" t="s">
        <v>151</v>
      </c>
      <c r="D283" s="396">
        <v>609800</v>
      </c>
      <c r="E283" s="291">
        <f t="shared" si="114"/>
        <v>715683.33333333337</v>
      </c>
      <c r="F283" s="292">
        <f t="shared" si="107"/>
        <v>143136.66666666669</v>
      </c>
      <c r="G283" s="560">
        <v>3530</v>
      </c>
      <c r="H283" s="293">
        <f t="shared" si="108"/>
        <v>211800</v>
      </c>
      <c r="I283" s="233">
        <f t="shared" si="109"/>
        <v>61420</v>
      </c>
      <c r="J283" s="233">
        <f t="shared" si="110"/>
        <v>1279.5833333333333</v>
      </c>
      <c r="K283" s="233">
        <f t="shared" si="111"/>
        <v>141857.08333333334</v>
      </c>
      <c r="L283" s="175">
        <f t="shared" si="112"/>
        <v>98.275274801404038</v>
      </c>
      <c r="M283" s="294">
        <f t="shared" si="113"/>
        <v>174.31621524755516</v>
      </c>
    </row>
    <row r="284" spans="2:13" s="88" customFormat="1" ht="12" customHeight="1">
      <c r="B284" s="395" t="s">
        <v>152</v>
      </c>
      <c r="C284" s="262" t="s">
        <v>152</v>
      </c>
      <c r="D284" s="396">
        <v>596700</v>
      </c>
      <c r="E284" s="291">
        <f t="shared" si="114"/>
        <v>712272.91666666663</v>
      </c>
      <c r="F284" s="292">
        <f t="shared" si="107"/>
        <v>142454.58333333334</v>
      </c>
      <c r="G284" s="560">
        <v>3789</v>
      </c>
      <c r="H284" s="293">
        <f t="shared" si="108"/>
        <v>227340</v>
      </c>
      <c r="I284" s="233">
        <f t="shared" si="109"/>
        <v>75260</v>
      </c>
      <c r="J284" s="233">
        <f t="shared" si="110"/>
        <v>1567.9166666666667</v>
      </c>
      <c r="K284" s="233">
        <f t="shared" si="111"/>
        <v>140886.66666666669</v>
      </c>
      <c r="L284" s="175">
        <f t="shared" si="112"/>
        <v>97.585528176534098</v>
      </c>
      <c r="M284" s="294">
        <f t="shared" si="113"/>
        <v>173.1237519840254</v>
      </c>
    </row>
    <row r="285" spans="2:13" s="88" customFormat="1" ht="12" customHeight="1">
      <c r="B285" s="395" t="s">
        <v>153</v>
      </c>
      <c r="C285" s="262" t="s">
        <v>153</v>
      </c>
      <c r="D285" s="396">
        <v>588100</v>
      </c>
      <c r="E285" s="291">
        <f t="shared" si="114"/>
        <v>709139.58333333337</v>
      </c>
      <c r="F285" s="292">
        <f t="shared" si="107"/>
        <v>141827.91666666669</v>
      </c>
      <c r="G285" s="560">
        <v>3634</v>
      </c>
      <c r="H285" s="293">
        <f t="shared" si="108"/>
        <v>218040</v>
      </c>
      <c r="I285" s="233">
        <f t="shared" si="109"/>
        <v>70340</v>
      </c>
      <c r="J285" s="233">
        <f t="shared" si="110"/>
        <v>1465.4166666666667</v>
      </c>
      <c r="K285" s="233">
        <f t="shared" si="111"/>
        <v>140362.50000000003</v>
      </c>
      <c r="L285" s="175">
        <f t="shared" si="112"/>
        <v>97.268501140530745</v>
      </c>
      <c r="M285" s="294">
        <f t="shared" si="113"/>
        <v>172.4796477394911</v>
      </c>
    </row>
    <row r="286" spans="2:13" s="88" customFormat="1" ht="12" customHeight="1">
      <c r="B286" s="395" t="s">
        <v>154</v>
      </c>
      <c r="C286" s="262" t="s">
        <v>154</v>
      </c>
      <c r="D286" s="396">
        <v>551200</v>
      </c>
      <c r="E286" s="291">
        <f t="shared" si="114"/>
        <v>705033.33333333337</v>
      </c>
      <c r="F286" s="292">
        <f t="shared" si="107"/>
        <v>141006.66666666669</v>
      </c>
      <c r="G286" s="560">
        <v>3440</v>
      </c>
      <c r="H286" s="293">
        <f t="shared" si="108"/>
        <v>206400</v>
      </c>
      <c r="I286" s="233">
        <f t="shared" si="109"/>
        <v>56740</v>
      </c>
      <c r="J286" s="233">
        <f t="shared" si="110"/>
        <v>1182.0833333333333</v>
      </c>
      <c r="K286" s="233">
        <f t="shared" si="111"/>
        <v>139824.58333333334</v>
      </c>
      <c r="L286" s="175">
        <f t="shared" si="112"/>
        <v>96.706694677628974</v>
      </c>
      <c r="M286" s="294">
        <f t="shared" si="113"/>
        <v>171.81864727868518</v>
      </c>
    </row>
    <row r="287" spans="2:13" s="88" customFormat="1" ht="12" customHeight="1">
      <c r="B287" s="395" t="s">
        <v>155</v>
      </c>
      <c r="C287" s="262" t="s">
        <v>155</v>
      </c>
      <c r="D287" s="396">
        <v>522900</v>
      </c>
      <c r="E287" s="291">
        <f t="shared" si="114"/>
        <v>700183.33333333337</v>
      </c>
      <c r="F287" s="292">
        <f t="shared" ref="F287:F298" si="115">E287*0.2</f>
        <v>140036.66666666669</v>
      </c>
      <c r="G287" s="560">
        <v>3406</v>
      </c>
      <c r="H287" s="293">
        <f t="shared" si="108"/>
        <v>204360</v>
      </c>
      <c r="I287" s="233">
        <f t="shared" si="109"/>
        <v>53220</v>
      </c>
      <c r="J287" s="233">
        <f t="shared" si="110"/>
        <v>1108.75</v>
      </c>
      <c r="K287" s="233">
        <f t="shared" si="111"/>
        <v>138927.91666666669</v>
      </c>
      <c r="L287" s="175">
        <f t="shared" si="112"/>
        <v>96.115894736538678</v>
      </c>
      <c r="M287" s="294">
        <f t="shared" si="113"/>
        <v>170.71680917515747</v>
      </c>
    </row>
    <row r="288" spans="2:13" ht="12" customHeight="1">
      <c r="B288" s="395" t="s">
        <v>156</v>
      </c>
      <c r="C288" s="262" t="s">
        <v>156</v>
      </c>
      <c r="D288" s="396">
        <v>511600</v>
      </c>
      <c r="E288" s="291">
        <f t="shared" si="114"/>
        <v>695491.66666666663</v>
      </c>
      <c r="F288" s="292">
        <f t="shared" si="115"/>
        <v>139098.33333333334</v>
      </c>
      <c r="G288" s="560">
        <v>3478</v>
      </c>
      <c r="H288" s="293">
        <f t="shared" si="108"/>
        <v>208680</v>
      </c>
      <c r="I288" s="233">
        <f t="shared" si="109"/>
        <v>61320</v>
      </c>
      <c r="J288" s="233">
        <f t="shared" si="110"/>
        <v>1277.5</v>
      </c>
      <c r="K288" s="233">
        <f t="shared" si="111"/>
        <v>137820.83333333334</v>
      </c>
      <c r="L288" s="175">
        <f t="shared" si="112"/>
        <v>95.384615384615387</v>
      </c>
      <c r="M288" s="294">
        <f t="shared" si="113"/>
        <v>169.35640776201936</v>
      </c>
    </row>
    <row r="289" spans="2:13" s="88" customFormat="1" ht="12" customHeight="1">
      <c r="B289" s="531" t="s">
        <v>157</v>
      </c>
      <c r="C289" s="262" t="s">
        <v>157</v>
      </c>
      <c r="D289" s="544">
        <v>532500</v>
      </c>
      <c r="E289" s="291">
        <f t="shared" si="114"/>
        <v>691685.41666666663</v>
      </c>
      <c r="F289" s="292">
        <f t="shared" si="115"/>
        <v>138337.08333333334</v>
      </c>
      <c r="G289" s="560">
        <v>3130</v>
      </c>
      <c r="H289" s="293">
        <f t="shared" si="108"/>
        <v>187800</v>
      </c>
      <c r="I289" s="233">
        <f t="shared" si="109"/>
        <v>44760</v>
      </c>
      <c r="J289" s="233">
        <f t="shared" si="110"/>
        <v>932.5</v>
      </c>
      <c r="K289" s="233">
        <f t="shared" si="111"/>
        <v>137404.58333333334</v>
      </c>
      <c r="L289" s="175">
        <f t="shared" si="112"/>
        <v>95.143998015014347</v>
      </c>
      <c r="M289" s="294">
        <f t="shared" si="113"/>
        <v>168.84491321488915</v>
      </c>
    </row>
    <row r="290" spans="2:13" s="88" customFormat="1" ht="12" customHeight="1">
      <c r="B290" s="439" t="s">
        <v>399</v>
      </c>
      <c r="C290" s="264" t="s">
        <v>400</v>
      </c>
      <c r="D290" s="343">
        <v>535700</v>
      </c>
      <c r="E290" s="309">
        <f t="shared" si="114"/>
        <v>687777.08333333337</v>
      </c>
      <c r="F290" s="303">
        <f t="shared" si="115"/>
        <v>137555.41666666669</v>
      </c>
      <c r="G290" s="559">
        <v>3176</v>
      </c>
      <c r="H290" s="302">
        <f t="shared" ref="H290:H309" si="116">G290*60</f>
        <v>190560</v>
      </c>
      <c r="I290" s="239">
        <f t="shared" ref="I290:I313" si="117">H290-D242*0.2</f>
        <v>45900</v>
      </c>
      <c r="J290" s="239">
        <f t="shared" ref="J290:J313" si="118">I290/48</f>
        <v>956.25</v>
      </c>
      <c r="K290" s="239">
        <f t="shared" ref="K290:K304" si="119">F290-J290</f>
        <v>136599.16666666669</v>
      </c>
      <c r="L290" s="178">
        <f t="shared" ref="L290:L304" si="120">K290/K278*100</f>
        <v>94.688744667515806</v>
      </c>
      <c r="M290" s="304">
        <f t="shared" ref="M290:M313" si="121">K290/$K$85*100</f>
        <v>167.85520454661821</v>
      </c>
    </row>
    <row r="291" spans="2:13" s="88" customFormat="1" ht="12" customHeight="1">
      <c r="B291" s="531" t="s">
        <v>147</v>
      </c>
      <c r="C291" s="262" t="s">
        <v>147</v>
      </c>
      <c r="D291" s="544">
        <v>548100</v>
      </c>
      <c r="E291" s="291">
        <f>AVERAGE(D244:D291)</f>
        <v>683281.25</v>
      </c>
      <c r="F291" s="292">
        <f t="shared" si="115"/>
        <v>136656.25</v>
      </c>
      <c r="G291" s="560">
        <v>2834</v>
      </c>
      <c r="H291" s="293">
        <f t="shared" si="116"/>
        <v>170040</v>
      </c>
      <c r="I291" s="233">
        <f t="shared" si="117"/>
        <v>17260</v>
      </c>
      <c r="J291" s="233">
        <f t="shared" si="118"/>
        <v>359.58333333333331</v>
      </c>
      <c r="K291" s="233">
        <f t="shared" si="119"/>
        <v>136296.66666666666</v>
      </c>
      <c r="L291" s="175">
        <f t="shared" si="120"/>
        <v>94.501710270869907</v>
      </c>
      <c r="M291" s="294">
        <f t="shared" si="121"/>
        <v>167.48348778864369</v>
      </c>
    </row>
    <row r="292" spans="2:13" s="88" customFormat="1" ht="12" customHeight="1">
      <c r="B292" s="531" t="s">
        <v>148</v>
      </c>
      <c r="C292" s="262" t="s">
        <v>148</v>
      </c>
      <c r="D292" s="544">
        <v>555600</v>
      </c>
      <c r="E292" s="291">
        <f t="shared" ref="E292:E301" si="122">AVERAGE(D245:D292)</f>
        <v>678793.75</v>
      </c>
      <c r="F292" s="292">
        <f t="shared" si="115"/>
        <v>135758.75</v>
      </c>
      <c r="G292" s="560">
        <v>2986</v>
      </c>
      <c r="H292" s="293">
        <f t="shared" si="116"/>
        <v>179160</v>
      </c>
      <c r="I292" s="233">
        <f t="shared" si="117"/>
        <v>24960</v>
      </c>
      <c r="J292" s="233">
        <f t="shared" si="118"/>
        <v>520</v>
      </c>
      <c r="K292" s="233">
        <f t="shared" si="119"/>
        <v>135238.75</v>
      </c>
      <c r="L292" s="175">
        <f t="shared" si="120"/>
        <v>94.073131568421715</v>
      </c>
      <c r="M292" s="294">
        <f t="shared" si="121"/>
        <v>166.18350314884029</v>
      </c>
    </row>
    <row r="293" spans="2:13" s="88" customFormat="1" ht="12" customHeight="1">
      <c r="B293" s="531" t="s">
        <v>149</v>
      </c>
      <c r="C293" s="262" t="s">
        <v>149</v>
      </c>
      <c r="D293" s="544">
        <v>529300</v>
      </c>
      <c r="E293" s="291">
        <f t="shared" si="122"/>
        <v>673479.16666666663</v>
      </c>
      <c r="F293" s="292">
        <f t="shared" si="115"/>
        <v>134695.83333333334</v>
      </c>
      <c r="G293" s="560">
        <v>3088</v>
      </c>
      <c r="H293" s="293">
        <f t="shared" si="116"/>
        <v>185280</v>
      </c>
      <c r="I293" s="233">
        <f t="shared" si="117"/>
        <v>28400</v>
      </c>
      <c r="J293" s="233">
        <f t="shared" si="118"/>
        <v>591.66666666666663</v>
      </c>
      <c r="K293" s="233">
        <f t="shared" si="119"/>
        <v>134104.16666666669</v>
      </c>
      <c r="L293" s="175">
        <f t="shared" si="120"/>
        <v>93.622009680722343</v>
      </c>
      <c r="M293" s="294">
        <f t="shared" si="121"/>
        <v>164.78930930315909</v>
      </c>
    </row>
    <row r="294" spans="2:13" s="88" customFormat="1" ht="12" customHeight="1">
      <c r="B294" s="531" t="s">
        <v>150</v>
      </c>
      <c r="C294" s="262" t="s">
        <v>150</v>
      </c>
      <c r="D294" s="544">
        <v>487900</v>
      </c>
      <c r="E294" s="291">
        <f t="shared" si="122"/>
        <v>667452.08333333337</v>
      </c>
      <c r="F294" s="292">
        <f t="shared" si="115"/>
        <v>133490.41666666669</v>
      </c>
      <c r="G294" s="560">
        <v>3211</v>
      </c>
      <c r="H294" s="293">
        <f t="shared" si="116"/>
        <v>192660</v>
      </c>
      <c r="I294" s="233">
        <f t="shared" si="117"/>
        <v>37220</v>
      </c>
      <c r="J294" s="233">
        <f t="shared" si="118"/>
        <v>775.41666666666663</v>
      </c>
      <c r="K294" s="233">
        <f t="shared" si="119"/>
        <v>132715.00000000003</v>
      </c>
      <c r="L294" s="175">
        <f t="shared" si="120"/>
        <v>93.234200743494426</v>
      </c>
      <c r="M294" s="294">
        <f t="shared" si="121"/>
        <v>163.08227945317702</v>
      </c>
    </row>
    <row r="295" spans="2:13" s="88" customFormat="1" ht="12" customHeight="1">
      <c r="B295" s="531" t="s">
        <v>151</v>
      </c>
      <c r="C295" s="262" t="s">
        <v>151</v>
      </c>
      <c r="D295" s="544">
        <v>476400</v>
      </c>
      <c r="E295" s="291">
        <f t="shared" si="122"/>
        <v>661566.66666666663</v>
      </c>
      <c r="F295" s="292">
        <f t="shared" si="115"/>
        <v>132313.33333333334</v>
      </c>
      <c r="G295" s="560">
        <v>3209</v>
      </c>
      <c r="H295" s="293">
        <f t="shared" si="116"/>
        <v>192540</v>
      </c>
      <c r="I295" s="233">
        <f t="shared" si="117"/>
        <v>40760</v>
      </c>
      <c r="J295" s="233">
        <f t="shared" si="118"/>
        <v>849.16666666666663</v>
      </c>
      <c r="K295" s="233">
        <f t="shared" si="119"/>
        <v>131464.16666666669</v>
      </c>
      <c r="L295" s="175">
        <f t="shared" si="120"/>
        <v>92.673670977539018</v>
      </c>
      <c r="M295" s="294">
        <f t="shared" si="121"/>
        <v>161.54523577901799</v>
      </c>
    </row>
    <row r="296" spans="2:13" s="88" customFormat="1" ht="12" customHeight="1">
      <c r="B296" s="531" t="s">
        <v>152</v>
      </c>
      <c r="C296" s="262" t="s">
        <v>152</v>
      </c>
      <c r="D296" s="544">
        <v>500300</v>
      </c>
      <c r="E296" s="291">
        <f t="shared" si="122"/>
        <v>656393.75</v>
      </c>
      <c r="F296" s="292">
        <f t="shared" si="115"/>
        <v>131278.75</v>
      </c>
      <c r="G296" s="560">
        <v>3245</v>
      </c>
      <c r="H296" s="293">
        <f t="shared" si="116"/>
        <v>194700</v>
      </c>
      <c r="I296" s="233">
        <f t="shared" si="117"/>
        <v>44980</v>
      </c>
      <c r="J296" s="233">
        <f t="shared" si="118"/>
        <v>937.08333333333337</v>
      </c>
      <c r="K296" s="233">
        <f t="shared" si="119"/>
        <v>130341.66666666667</v>
      </c>
      <c r="L296" s="175">
        <f t="shared" si="120"/>
        <v>92.515260493067714</v>
      </c>
      <c r="M296" s="294">
        <f t="shared" si="121"/>
        <v>160.16589012339358</v>
      </c>
    </row>
    <row r="297" spans="2:13" s="88" customFormat="1" ht="12" customHeight="1">
      <c r="B297" s="531" t="s">
        <v>153</v>
      </c>
      <c r="C297" s="262" t="s">
        <v>153</v>
      </c>
      <c r="D297" s="544">
        <v>467100</v>
      </c>
      <c r="E297" s="291">
        <f t="shared" si="122"/>
        <v>650566.66666666663</v>
      </c>
      <c r="F297" s="292">
        <f t="shared" si="115"/>
        <v>130113.33333333333</v>
      </c>
      <c r="G297" s="560">
        <v>2871</v>
      </c>
      <c r="H297" s="293">
        <f t="shared" si="116"/>
        <v>172260</v>
      </c>
      <c r="I297" s="233">
        <f t="shared" si="117"/>
        <v>22900</v>
      </c>
      <c r="J297" s="233">
        <f t="shared" si="118"/>
        <v>477.08333333333331</v>
      </c>
      <c r="K297" s="233">
        <f t="shared" si="119"/>
        <v>129636.25</v>
      </c>
      <c r="L297" s="175">
        <f t="shared" si="120"/>
        <v>92.358179713242478</v>
      </c>
      <c r="M297" s="294">
        <f t="shared" si="121"/>
        <v>159.29906302800677</v>
      </c>
    </row>
    <row r="298" spans="2:13" s="88" customFormat="1" ht="12" customHeight="1">
      <c r="B298" s="531" t="s">
        <v>154</v>
      </c>
      <c r="C298" s="262" t="s">
        <v>154</v>
      </c>
      <c r="D298" s="544">
        <v>443500</v>
      </c>
      <c r="E298" s="291">
        <f t="shared" si="122"/>
        <v>643654.16666666663</v>
      </c>
      <c r="F298" s="292">
        <f t="shared" si="115"/>
        <v>128730.83333333333</v>
      </c>
      <c r="G298" s="560">
        <v>2997</v>
      </c>
      <c r="H298" s="293">
        <f t="shared" si="116"/>
        <v>179820</v>
      </c>
      <c r="I298" s="233">
        <f t="shared" si="117"/>
        <v>24760</v>
      </c>
      <c r="J298" s="233">
        <f t="shared" si="118"/>
        <v>515.83333333333337</v>
      </c>
      <c r="K298" s="233">
        <f t="shared" si="119"/>
        <v>128215</v>
      </c>
      <c r="L298" s="175">
        <f t="shared" si="120"/>
        <v>91.6970370613179</v>
      </c>
      <c r="M298" s="294">
        <f t="shared" si="121"/>
        <v>157.55260867339101</v>
      </c>
    </row>
    <row r="299" spans="2:13" s="88" customFormat="1" ht="12" customHeight="1">
      <c r="B299" s="531" t="s">
        <v>155</v>
      </c>
      <c r="C299" s="262" t="s">
        <v>155</v>
      </c>
      <c r="D299" s="544">
        <v>418600</v>
      </c>
      <c r="E299" s="291">
        <f t="shared" si="122"/>
        <v>637052.08333333337</v>
      </c>
      <c r="F299" s="292">
        <f t="shared" ref="F299:F313" si="123">E299*0.2</f>
        <v>127410.41666666669</v>
      </c>
      <c r="G299" s="560">
        <v>2941</v>
      </c>
      <c r="H299" s="293">
        <f t="shared" si="116"/>
        <v>176460</v>
      </c>
      <c r="I299" s="233">
        <f t="shared" si="117"/>
        <v>29360</v>
      </c>
      <c r="J299" s="233">
        <f t="shared" si="118"/>
        <v>611.66666666666663</v>
      </c>
      <c r="K299" s="233">
        <f t="shared" si="119"/>
        <v>126798.75000000001</v>
      </c>
      <c r="L299" s="175">
        <f t="shared" si="120"/>
        <v>91.2694532836273</v>
      </c>
      <c r="M299" s="294">
        <f t="shared" si="121"/>
        <v>155.81229839741951</v>
      </c>
    </row>
    <row r="300" spans="2:13" ht="12" customHeight="1">
      <c r="B300" s="531" t="s">
        <v>156</v>
      </c>
      <c r="C300" s="262" t="s">
        <v>156</v>
      </c>
      <c r="D300" s="290">
        <v>403900</v>
      </c>
      <c r="E300" s="291">
        <f t="shared" si="122"/>
        <v>629693.75</v>
      </c>
      <c r="F300" s="292">
        <f t="shared" si="123"/>
        <v>125938.75</v>
      </c>
      <c r="G300" s="560">
        <v>2892</v>
      </c>
      <c r="H300" s="293">
        <f t="shared" si="116"/>
        <v>173520</v>
      </c>
      <c r="I300" s="233">
        <f t="shared" si="117"/>
        <v>22100</v>
      </c>
      <c r="J300" s="233">
        <f t="shared" si="118"/>
        <v>460.41666666666669</v>
      </c>
      <c r="K300" s="233">
        <f t="shared" si="119"/>
        <v>125478.33333333333</v>
      </c>
      <c r="L300" s="175">
        <f t="shared" si="120"/>
        <v>91.044532454575673</v>
      </c>
      <c r="M300" s="294">
        <f t="shared" si="121"/>
        <v>154.18974962879523</v>
      </c>
    </row>
    <row r="301" spans="2:13" s="88" customFormat="1" ht="12" customHeight="1">
      <c r="B301" s="387" t="s">
        <v>157</v>
      </c>
      <c r="C301" s="263" t="s">
        <v>157</v>
      </c>
      <c r="D301" s="305">
        <v>433700</v>
      </c>
      <c r="E301" s="310">
        <f t="shared" si="122"/>
        <v>622841.66666666663</v>
      </c>
      <c r="F301" s="307">
        <f t="shared" si="123"/>
        <v>124568.33333333333</v>
      </c>
      <c r="G301" s="561">
        <v>2610</v>
      </c>
      <c r="H301" s="306">
        <f t="shared" si="116"/>
        <v>156600</v>
      </c>
      <c r="I301" s="235">
        <f t="shared" si="117"/>
        <v>4080</v>
      </c>
      <c r="J301" s="235">
        <f t="shared" si="118"/>
        <v>85</v>
      </c>
      <c r="K301" s="235">
        <f t="shared" si="119"/>
        <v>124483.33333333333</v>
      </c>
      <c r="L301" s="182">
        <f t="shared" si="120"/>
        <v>90.596201606569394</v>
      </c>
      <c r="M301" s="308">
        <f t="shared" si="121"/>
        <v>152.96707797859813</v>
      </c>
    </row>
    <row r="302" spans="2:13" s="313" customFormat="1" ht="12" customHeight="1">
      <c r="B302" s="531" t="s">
        <v>407</v>
      </c>
      <c r="C302" s="262" t="s">
        <v>406</v>
      </c>
      <c r="D302" s="544">
        <v>462700</v>
      </c>
      <c r="E302" s="291">
        <f>AVERAGE(D255:D302)</f>
        <v>616375</v>
      </c>
      <c r="F302" s="292">
        <f t="shared" si="123"/>
        <v>123275</v>
      </c>
      <c r="G302" s="560">
        <v>2571</v>
      </c>
      <c r="H302" s="293">
        <f t="shared" si="116"/>
        <v>154260</v>
      </c>
      <c r="I302" s="555">
        <f t="shared" si="117"/>
        <v>-360</v>
      </c>
      <c r="J302" s="555">
        <f t="shared" si="118"/>
        <v>-7.5</v>
      </c>
      <c r="K302" s="555">
        <f t="shared" si="119"/>
        <v>123282.5</v>
      </c>
      <c r="L302" s="556">
        <f t="shared" si="120"/>
        <v>90.251282645696946</v>
      </c>
      <c r="M302" s="557">
        <f t="shared" si="121"/>
        <v>151.49147509088115</v>
      </c>
    </row>
    <row r="303" spans="2:13" s="313" customFormat="1" ht="12" customHeight="1">
      <c r="B303" s="531" t="s">
        <v>401</v>
      </c>
      <c r="C303" s="262" t="s">
        <v>401</v>
      </c>
      <c r="D303" s="544">
        <v>515400</v>
      </c>
      <c r="E303" s="291">
        <f>AVERAGE(D256:D303)</f>
        <v>610104.16666666663</v>
      </c>
      <c r="F303" s="292">
        <f t="shared" si="123"/>
        <v>122020.83333333333</v>
      </c>
      <c r="G303" s="560">
        <v>2638</v>
      </c>
      <c r="H303" s="293">
        <f t="shared" si="116"/>
        <v>158280</v>
      </c>
      <c r="I303" s="555">
        <f t="shared" si="117"/>
        <v>-5000</v>
      </c>
      <c r="J303" s="555">
        <f t="shared" si="118"/>
        <v>-104.16666666666667</v>
      </c>
      <c r="K303" s="555">
        <f t="shared" si="119"/>
        <v>122125</v>
      </c>
      <c r="L303" s="556">
        <f t="shared" si="120"/>
        <v>89.602338037124909</v>
      </c>
      <c r="M303" s="557">
        <f t="shared" si="121"/>
        <v>150.06912088474732</v>
      </c>
    </row>
    <row r="304" spans="2:13" s="313" customFormat="1" ht="12" customHeight="1">
      <c r="B304" s="531" t="s">
        <v>168</v>
      </c>
      <c r="C304" s="270" t="s">
        <v>168</v>
      </c>
      <c r="D304" s="544">
        <v>495900</v>
      </c>
      <c r="E304" s="291">
        <f>AVERAGE(D257:D304)</f>
        <v>603439.58333333337</v>
      </c>
      <c r="F304" s="292">
        <f t="shared" si="123"/>
        <v>120687.91666666669</v>
      </c>
      <c r="G304" s="560">
        <v>2846</v>
      </c>
      <c r="H304" s="293">
        <f t="shared" si="116"/>
        <v>170760</v>
      </c>
      <c r="I304" s="555">
        <f t="shared" si="117"/>
        <v>7600</v>
      </c>
      <c r="J304" s="555">
        <f t="shared" si="118"/>
        <v>158.33333333333334</v>
      </c>
      <c r="K304" s="555">
        <f t="shared" si="119"/>
        <v>120529.58333333336</v>
      </c>
      <c r="L304" s="556">
        <f t="shared" si="120"/>
        <v>89.123556179965689</v>
      </c>
      <c r="M304" s="557">
        <f t="shared" si="121"/>
        <v>148.10864779069175</v>
      </c>
    </row>
    <row r="305" spans="2:13" s="313" customFormat="1" ht="12" customHeight="1">
      <c r="B305" s="531" t="s">
        <v>402</v>
      </c>
      <c r="C305" s="270" t="s">
        <v>402</v>
      </c>
      <c r="D305" s="544">
        <v>472600</v>
      </c>
      <c r="E305" s="291">
        <f t="shared" ref="E305:E306" si="124">AVERAGE(D258:D305)</f>
        <v>596222.91666666663</v>
      </c>
      <c r="F305" s="292">
        <f t="shared" si="123"/>
        <v>119244.58333333333</v>
      </c>
      <c r="G305" s="560">
        <v>2991</v>
      </c>
      <c r="H305" s="293">
        <f t="shared" si="116"/>
        <v>179460</v>
      </c>
      <c r="I305" s="555">
        <f t="shared" si="117"/>
        <v>15660</v>
      </c>
      <c r="J305" s="555">
        <f t="shared" si="118"/>
        <v>326.25</v>
      </c>
      <c r="K305" s="555">
        <f>F305-J305</f>
        <v>118918.33333333333</v>
      </c>
      <c r="L305" s="556">
        <f>K305/K293*100</f>
        <v>88.676091346900705</v>
      </c>
      <c r="M305" s="557">
        <f t="shared" si="121"/>
        <v>146.12871844759613</v>
      </c>
    </row>
    <row r="306" spans="2:13" s="313" customFormat="1" ht="12" customHeight="1">
      <c r="B306" s="531" t="s">
        <v>160</v>
      </c>
      <c r="C306" s="270" t="s">
        <v>160</v>
      </c>
      <c r="D306" s="544">
        <v>443900</v>
      </c>
      <c r="E306" s="291">
        <f t="shared" si="124"/>
        <v>589195.83333333337</v>
      </c>
      <c r="F306" s="292">
        <f t="shared" si="123"/>
        <v>117839.16666666669</v>
      </c>
      <c r="G306" s="293">
        <v>3137</v>
      </c>
      <c r="H306" s="293">
        <f t="shared" si="116"/>
        <v>188220</v>
      </c>
      <c r="I306" s="555">
        <f t="shared" si="117"/>
        <v>31980</v>
      </c>
      <c r="J306" s="555">
        <f t="shared" si="118"/>
        <v>666.25</v>
      </c>
      <c r="K306" s="555">
        <f t="shared" ref="K306:K312" si="125">F306-J306</f>
        <v>117172.91666666669</v>
      </c>
      <c r="L306" s="556">
        <f t="shared" ref="L306:L316" si="126">K306/K294*100</f>
        <v>88.289128332642633</v>
      </c>
      <c r="M306" s="557">
        <f t="shared" si="121"/>
        <v>143.98392299421434</v>
      </c>
    </row>
    <row r="307" spans="2:13" s="313" customFormat="1" ht="12" customHeight="1">
      <c r="B307" s="531" t="s">
        <v>161</v>
      </c>
      <c r="C307" s="270" t="s">
        <v>161</v>
      </c>
      <c r="D307" s="544">
        <v>413600</v>
      </c>
      <c r="E307" s="291">
        <f>AVERAGE(D260:D307)</f>
        <v>582387.5</v>
      </c>
      <c r="F307" s="292">
        <f t="shared" si="123"/>
        <v>116477.5</v>
      </c>
      <c r="G307" s="293">
        <v>3099</v>
      </c>
      <c r="H307" s="293">
        <f t="shared" si="116"/>
        <v>185940</v>
      </c>
      <c r="I307" s="555">
        <f t="shared" si="117"/>
        <v>37860</v>
      </c>
      <c r="J307" s="555">
        <f t="shared" si="118"/>
        <v>788.75</v>
      </c>
      <c r="K307" s="555">
        <f t="shared" si="125"/>
        <v>115688.75</v>
      </c>
      <c r="L307" s="556">
        <f t="shared" si="126"/>
        <v>88.000215521339769</v>
      </c>
      <c r="M307" s="557">
        <f t="shared" si="121"/>
        <v>142.1601556499923</v>
      </c>
    </row>
    <row r="308" spans="2:13" s="313" customFormat="1" ht="12" customHeight="1">
      <c r="B308" s="531" t="s">
        <v>403</v>
      </c>
      <c r="C308" s="270" t="s">
        <v>403</v>
      </c>
      <c r="D308" s="544">
        <v>417900</v>
      </c>
      <c r="E308" s="291">
        <f t="shared" ref="E308:E310" si="127">AVERAGE(D261:D308)</f>
        <v>576035.41666666663</v>
      </c>
      <c r="F308" s="292">
        <f t="shared" si="123"/>
        <v>115207.08333333333</v>
      </c>
      <c r="G308" s="293">
        <v>3511</v>
      </c>
      <c r="H308" s="293">
        <f t="shared" si="116"/>
        <v>210660</v>
      </c>
      <c r="I308" s="555">
        <f t="shared" si="117"/>
        <v>66100</v>
      </c>
      <c r="J308" s="555">
        <f t="shared" si="118"/>
        <v>1377.0833333333333</v>
      </c>
      <c r="K308" s="555">
        <f t="shared" si="125"/>
        <v>113830</v>
      </c>
      <c r="L308" s="556">
        <f t="shared" si="126"/>
        <v>87.332012019691831</v>
      </c>
      <c r="M308" s="557">
        <f t="shared" si="121"/>
        <v>139.87609441400849</v>
      </c>
    </row>
    <row r="309" spans="2:13" s="313" customFormat="1" ht="12" customHeight="1">
      <c r="B309" s="531" t="s">
        <v>404</v>
      </c>
      <c r="C309" s="270" t="s">
        <v>404</v>
      </c>
      <c r="D309" s="544">
        <v>395600</v>
      </c>
      <c r="E309" s="291">
        <f t="shared" si="127"/>
        <v>569645.83333333337</v>
      </c>
      <c r="F309" s="292">
        <f t="shared" si="123"/>
        <v>113929.16666666669</v>
      </c>
      <c r="G309" s="293">
        <v>3287</v>
      </c>
      <c r="H309" s="293">
        <f t="shared" si="116"/>
        <v>197220</v>
      </c>
      <c r="I309" s="555">
        <f t="shared" si="117"/>
        <v>56760</v>
      </c>
      <c r="J309" s="555">
        <f t="shared" si="118"/>
        <v>1182.5</v>
      </c>
      <c r="K309" s="555">
        <f t="shared" si="125"/>
        <v>112746.66666666669</v>
      </c>
      <c r="L309" s="556">
        <f t="shared" si="126"/>
        <v>86.971558238275705</v>
      </c>
      <c r="M309" s="557">
        <f t="shared" si="121"/>
        <v>138.5448773744304</v>
      </c>
    </row>
    <row r="310" spans="2:13" s="313" customFormat="1" ht="12" customHeight="1">
      <c r="B310" s="531" t="s">
        <v>164</v>
      </c>
      <c r="C310" s="270" t="s">
        <v>164</v>
      </c>
      <c r="D310" s="544">
        <v>395500</v>
      </c>
      <c r="E310" s="291">
        <f t="shared" si="127"/>
        <v>563212.5</v>
      </c>
      <c r="F310" s="292">
        <f t="shared" si="123"/>
        <v>112642.5</v>
      </c>
      <c r="G310" s="293">
        <v>3284</v>
      </c>
      <c r="H310" s="293">
        <f>G310*60</f>
        <v>197040</v>
      </c>
      <c r="I310" s="555">
        <f t="shared" si="117"/>
        <v>56180</v>
      </c>
      <c r="J310" s="555">
        <f t="shared" si="118"/>
        <v>1170.4166666666667</v>
      </c>
      <c r="K310" s="555">
        <f t="shared" si="125"/>
        <v>111472.08333333333</v>
      </c>
      <c r="L310" s="556">
        <f t="shared" si="126"/>
        <v>86.941530502151338</v>
      </c>
      <c r="M310" s="557">
        <f t="shared" si="121"/>
        <v>136.97864932671138</v>
      </c>
    </row>
    <row r="311" spans="2:13" s="313" customFormat="1" ht="12" customHeight="1">
      <c r="B311" s="531" t="s">
        <v>165</v>
      </c>
      <c r="C311" s="270" t="s">
        <v>165</v>
      </c>
      <c r="D311" s="544">
        <v>402400</v>
      </c>
      <c r="E311" s="291">
        <f>AVERAGE(D264:D311)</f>
        <v>557252.08333333337</v>
      </c>
      <c r="F311" s="292">
        <f t="shared" si="123"/>
        <v>111450.41666666669</v>
      </c>
      <c r="G311" s="293">
        <v>3309</v>
      </c>
      <c r="H311" s="293">
        <f t="shared" ref="H311:H321" si="128">G311*60</f>
        <v>198540</v>
      </c>
      <c r="I311" s="555">
        <f t="shared" si="117"/>
        <v>60840</v>
      </c>
      <c r="J311" s="555">
        <f t="shared" si="118"/>
        <v>1267.5</v>
      </c>
      <c r="K311" s="555">
        <f t="shared" si="125"/>
        <v>110182.91666666669</v>
      </c>
      <c r="L311" s="556">
        <f t="shared" si="126"/>
        <v>86.895901313433029</v>
      </c>
      <c r="M311" s="557">
        <f t="shared" si="121"/>
        <v>135.39450104961347</v>
      </c>
    </row>
    <row r="312" spans="2:13" s="313" customFormat="1" ht="12" customHeight="1">
      <c r="B312" s="531" t="s">
        <v>166</v>
      </c>
      <c r="C312" s="270" t="s">
        <v>166</v>
      </c>
      <c r="D312" s="544">
        <v>408900</v>
      </c>
      <c r="E312" s="291">
        <f t="shared" ref="E312:E313" si="129">AVERAGE(D265:D312)</f>
        <v>551512.5</v>
      </c>
      <c r="F312" s="292">
        <f t="shared" si="123"/>
        <v>110302.5</v>
      </c>
      <c r="G312" s="293">
        <v>2940</v>
      </c>
      <c r="H312" s="293">
        <f t="shared" si="128"/>
        <v>176400</v>
      </c>
      <c r="I312" s="555">
        <f t="shared" si="117"/>
        <v>39520</v>
      </c>
      <c r="J312" s="555">
        <f t="shared" si="118"/>
        <v>823.33333333333337</v>
      </c>
      <c r="K312" s="555">
        <f t="shared" si="125"/>
        <v>109479.16666666667</v>
      </c>
      <c r="L312" s="556">
        <f t="shared" si="126"/>
        <v>87.249458737896319</v>
      </c>
      <c r="M312" s="557">
        <f t="shared" si="121"/>
        <v>134.52972198044137</v>
      </c>
    </row>
    <row r="313" spans="2:13" s="313" customFormat="1" ht="12" customHeight="1">
      <c r="B313" s="105" t="s">
        <v>167</v>
      </c>
      <c r="C313" s="271" t="s">
        <v>167</v>
      </c>
      <c r="D313" s="568">
        <v>439400</v>
      </c>
      <c r="E313" s="310">
        <f t="shared" si="129"/>
        <v>546664.58333333337</v>
      </c>
      <c r="F313" s="307">
        <f t="shared" si="123"/>
        <v>109332.91666666669</v>
      </c>
      <c r="G313" s="306">
        <v>2921</v>
      </c>
      <c r="H313" s="306">
        <f t="shared" si="128"/>
        <v>175260</v>
      </c>
      <c r="I313" s="235">
        <f t="shared" si="117"/>
        <v>40840</v>
      </c>
      <c r="J313" s="235">
        <f t="shared" si="118"/>
        <v>850.83333333333337</v>
      </c>
      <c r="K313" s="235">
        <f>F313-J313</f>
        <v>108482.08333333336</v>
      </c>
      <c r="L313" s="182">
        <f t="shared" si="126"/>
        <v>87.145869594323216</v>
      </c>
      <c r="M313" s="308">
        <f t="shared" si="121"/>
        <v>133.30449029747581</v>
      </c>
    </row>
    <row r="314" spans="2:13" s="313" customFormat="1" ht="12" customHeight="1">
      <c r="B314" s="531" t="s">
        <v>415</v>
      </c>
      <c r="C314" s="262" t="s">
        <v>416</v>
      </c>
      <c r="D314" s="544">
        <v>585000</v>
      </c>
      <c r="E314" s="291">
        <f>AVERAGE(D267:D314)</f>
        <v>544110.41666666663</v>
      </c>
      <c r="F314" s="292">
        <f t="shared" ref="F314:F337" si="130">E314*0.2</f>
        <v>108822.08333333333</v>
      </c>
      <c r="G314" s="560">
        <v>3182</v>
      </c>
      <c r="H314" s="293">
        <f t="shared" si="128"/>
        <v>190920</v>
      </c>
      <c r="I314" s="555">
        <f t="shared" ref="I314:I337" si="131">H314-D266*0.2</f>
        <v>49400</v>
      </c>
      <c r="J314" s="555">
        <f t="shared" ref="J314:J337" si="132">I314/48</f>
        <v>1029.1666666666667</v>
      </c>
      <c r="K314" s="555">
        <f t="shared" ref="K314:K316" si="133">F314-J314</f>
        <v>107792.91666666666</v>
      </c>
      <c r="L314" s="556">
        <f t="shared" si="126"/>
        <v>87.435699849262178</v>
      </c>
      <c r="M314" s="557">
        <f t="shared" ref="M314:M337" si="134">K314/$K$85*100</f>
        <v>132.45763145768262</v>
      </c>
    </row>
    <row r="315" spans="2:13" s="313" customFormat="1" ht="12" customHeight="1">
      <c r="B315" s="531" t="s">
        <v>401</v>
      </c>
      <c r="C315" s="262" t="s">
        <v>401</v>
      </c>
      <c r="D315" s="544">
        <v>632000</v>
      </c>
      <c r="E315" s="291">
        <f>AVERAGE(D268:D315)</f>
        <v>542343.75</v>
      </c>
      <c r="F315" s="292">
        <f t="shared" si="130"/>
        <v>108468.75</v>
      </c>
      <c r="G315" s="560">
        <v>3259</v>
      </c>
      <c r="H315" s="293">
        <f t="shared" si="128"/>
        <v>195540</v>
      </c>
      <c r="I315" s="555">
        <f t="shared" si="131"/>
        <v>52180</v>
      </c>
      <c r="J315" s="555">
        <f t="shared" si="132"/>
        <v>1087.0833333333333</v>
      </c>
      <c r="K315" s="555">
        <f t="shared" si="133"/>
        <v>107381.66666666667</v>
      </c>
      <c r="L315" s="556">
        <f t="shared" si="126"/>
        <v>87.927669737291026</v>
      </c>
      <c r="M315" s="557">
        <f t="shared" si="134"/>
        <v>131.95228098919668</v>
      </c>
    </row>
    <row r="316" spans="2:13" s="313" customFormat="1" ht="12" customHeight="1">
      <c r="B316" s="531" t="s">
        <v>168</v>
      </c>
      <c r="C316" s="270" t="s">
        <v>168</v>
      </c>
      <c r="D316" s="544">
        <v>662500</v>
      </c>
      <c r="E316" s="291">
        <f>AVERAGE(D269:D316)</f>
        <v>540962.5</v>
      </c>
      <c r="F316" s="292">
        <f t="shared" si="130"/>
        <v>108192.5</v>
      </c>
      <c r="G316" s="560">
        <v>3317</v>
      </c>
      <c r="H316" s="293">
        <f t="shared" si="128"/>
        <v>199020</v>
      </c>
      <c r="I316" s="555">
        <f t="shared" si="131"/>
        <v>53260</v>
      </c>
      <c r="J316" s="555">
        <f t="shared" si="132"/>
        <v>1109.5833333333333</v>
      </c>
      <c r="K316" s="555">
        <f t="shared" si="133"/>
        <v>107082.91666666667</v>
      </c>
      <c r="L316" s="556">
        <f t="shared" si="126"/>
        <v>88.843679456288385</v>
      </c>
      <c r="M316" s="557">
        <f t="shared" si="134"/>
        <v>131.58517229020532</v>
      </c>
    </row>
    <row r="317" spans="2:13" s="313" customFormat="1" ht="12" customHeight="1">
      <c r="B317" s="531" t="s">
        <v>200</v>
      </c>
      <c r="C317" s="270" t="s">
        <v>200</v>
      </c>
      <c r="D317" s="544">
        <v>642100</v>
      </c>
      <c r="E317" s="291">
        <f t="shared" ref="E317:E318" si="135">AVERAGE(D270:D317)</f>
        <v>540358.33333333337</v>
      </c>
      <c r="F317" s="292">
        <f t="shared" si="130"/>
        <v>108071.66666666669</v>
      </c>
      <c r="G317" s="560">
        <v>3530</v>
      </c>
      <c r="H317" s="293">
        <f t="shared" si="128"/>
        <v>211800</v>
      </c>
      <c r="I317" s="555">
        <f t="shared" si="131"/>
        <v>77580</v>
      </c>
      <c r="J317" s="555">
        <f t="shared" si="132"/>
        <v>1616.25</v>
      </c>
      <c r="K317" s="555">
        <f>F317-J317</f>
        <v>106455.41666666669</v>
      </c>
      <c r="L317" s="556">
        <f>K317/K305*100</f>
        <v>89.519768468556876</v>
      </c>
      <c r="M317" s="557">
        <f t="shared" si="134"/>
        <v>130.81409042035739</v>
      </c>
    </row>
    <row r="318" spans="2:13" s="313" customFormat="1" ht="12" customHeight="1">
      <c r="B318" s="531" t="s">
        <v>160</v>
      </c>
      <c r="C318" s="270" t="s">
        <v>160</v>
      </c>
      <c r="D318" s="544">
        <v>511600</v>
      </c>
      <c r="E318" s="291">
        <f t="shared" si="135"/>
        <v>537758.33333333337</v>
      </c>
      <c r="F318" s="292">
        <f t="shared" si="130"/>
        <v>107551.66666666669</v>
      </c>
      <c r="G318" s="293">
        <v>3674</v>
      </c>
      <c r="H318" s="293">
        <f t="shared" si="128"/>
        <v>220440</v>
      </c>
      <c r="I318" s="555">
        <f t="shared" si="131"/>
        <v>93160</v>
      </c>
      <c r="J318" s="555">
        <f t="shared" si="132"/>
        <v>1940.8333333333333</v>
      </c>
      <c r="K318" s="555">
        <f t="shared" ref="K318:K324" si="136">F318-J318</f>
        <v>105610.83333333336</v>
      </c>
      <c r="L318" s="556">
        <f t="shared" ref="L318:L328" si="137">K318/K306*100</f>
        <v>90.132460928471104</v>
      </c>
      <c r="M318" s="557">
        <f t="shared" si="134"/>
        <v>129.77625313604017</v>
      </c>
    </row>
    <row r="319" spans="2:13" s="313" customFormat="1" ht="12" customHeight="1">
      <c r="B319" s="531" t="s">
        <v>161</v>
      </c>
      <c r="C319" s="270" t="s">
        <v>161</v>
      </c>
      <c r="D319" s="544">
        <v>434900</v>
      </c>
      <c r="E319" s="291">
        <f>AVERAGE(D272:D319)</f>
        <v>533685.41666666663</v>
      </c>
      <c r="F319" s="292">
        <f t="shared" si="130"/>
        <v>106737.08333333333</v>
      </c>
      <c r="G319" s="293">
        <v>3669</v>
      </c>
      <c r="H319" s="293">
        <f t="shared" si="128"/>
        <v>220140</v>
      </c>
      <c r="I319" s="555">
        <f t="shared" si="131"/>
        <v>94060</v>
      </c>
      <c r="J319" s="555">
        <f t="shared" si="132"/>
        <v>1959.5833333333333</v>
      </c>
      <c r="K319" s="555">
        <f t="shared" si="136"/>
        <v>104777.5</v>
      </c>
      <c r="L319" s="556">
        <f t="shared" si="137"/>
        <v>90.568443344750463</v>
      </c>
      <c r="M319" s="557">
        <f t="shared" si="134"/>
        <v>128.75224002867236</v>
      </c>
    </row>
    <row r="320" spans="2:13" s="313" customFormat="1" ht="12" customHeight="1">
      <c r="B320" s="531" t="s">
        <v>152</v>
      </c>
      <c r="C320" s="270" t="s">
        <v>152</v>
      </c>
      <c r="D320" s="544">
        <v>440600</v>
      </c>
      <c r="E320" s="291">
        <f t="shared" ref="E320:E322" si="138">AVERAGE(D273:D320)</f>
        <v>530195.83333333337</v>
      </c>
      <c r="F320" s="292">
        <f t="shared" si="130"/>
        <v>106039.16666666669</v>
      </c>
      <c r="G320" s="293">
        <v>3705</v>
      </c>
      <c r="H320" s="293">
        <f t="shared" si="128"/>
        <v>222300</v>
      </c>
      <c r="I320" s="555">
        <f t="shared" si="131"/>
        <v>100680</v>
      </c>
      <c r="J320" s="555">
        <f t="shared" si="132"/>
        <v>2097.5</v>
      </c>
      <c r="K320" s="555">
        <f t="shared" si="136"/>
        <v>103941.66666666669</v>
      </c>
      <c r="L320" s="556">
        <f t="shared" si="137"/>
        <v>91.313069196755407</v>
      </c>
      <c r="M320" s="557">
        <f t="shared" si="134"/>
        <v>127.7251548819825</v>
      </c>
    </row>
    <row r="321" spans="2:13" s="313" customFormat="1" ht="12" customHeight="1">
      <c r="B321" s="531" t="s">
        <v>404</v>
      </c>
      <c r="C321" s="270" t="s">
        <v>404</v>
      </c>
      <c r="D321" s="544">
        <v>425100</v>
      </c>
      <c r="E321" s="291">
        <f t="shared" si="138"/>
        <v>526585.41666666663</v>
      </c>
      <c r="F321" s="292">
        <f t="shared" si="130"/>
        <v>105317.08333333333</v>
      </c>
      <c r="G321" s="293">
        <v>3614</v>
      </c>
      <c r="H321" s="293">
        <f t="shared" si="128"/>
        <v>216840</v>
      </c>
      <c r="I321" s="555">
        <f t="shared" si="131"/>
        <v>97160</v>
      </c>
      <c r="J321" s="555">
        <f t="shared" si="132"/>
        <v>2024.1666666666667</v>
      </c>
      <c r="K321" s="555">
        <f t="shared" si="136"/>
        <v>103292.91666666666</v>
      </c>
      <c r="L321" s="556">
        <f t="shared" si="137"/>
        <v>91.615051442762507</v>
      </c>
      <c r="M321" s="557">
        <f t="shared" si="134"/>
        <v>126.92796067789666</v>
      </c>
    </row>
    <row r="322" spans="2:13" s="313" customFormat="1" ht="12" customHeight="1">
      <c r="B322" s="531" t="s">
        <v>164</v>
      </c>
      <c r="C322" s="270" t="s">
        <v>164</v>
      </c>
      <c r="D322" s="544">
        <v>428400</v>
      </c>
      <c r="E322" s="291">
        <f t="shared" si="138"/>
        <v>522810.41666666669</v>
      </c>
      <c r="F322" s="292">
        <f t="shared" si="130"/>
        <v>104562.08333333334</v>
      </c>
      <c r="G322" s="293">
        <v>3626</v>
      </c>
      <c r="H322" s="293">
        <f>G322*60</f>
        <v>217560</v>
      </c>
      <c r="I322" s="555">
        <f t="shared" si="131"/>
        <v>95640</v>
      </c>
      <c r="J322" s="555">
        <f t="shared" si="132"/>
        <v>1992.5</v>
      </c>
      <c r="K322" s="555">
        <f t="shared" si="136"/>
        <v>102569.58333333334</v>
      </c>
      <c r="L322" s="556">
        <f t="shared" si="137"/>
        <v>92.013695506722541</v>
      </c>
      <c r="M322" s="557">
        <f t="shared" si="134"/>
        <v>126.03911730070145</v>
      </c>
    </row>
    <row r="323" spans="2:13" s="313" customFormat="1" ht="12" customHeight="1">
      <c r="B323" s="531" t="s">
        <v>165</v>
      </c>
      <c r="C323" s="270" t="s">
        <v>165</v>
      </c>
      <c r="D323" s="544">
        <v>442000</v>
      </c>
      <c r="E323" s="291">
        <f>AVERAGE(D276:D323)</f>
        <v>519404.16666666669</v>
      </c>
      <c r="F323" s="292">
        <f t="shared" si="130"/>
        <v>103880.83333333334</v>
      </c>
      <c r="G323" s="293">
        <v>3544</v>
      </c>
      <c r="H323" s="293">
        <f t="shared" ref="H323:H333" si="139">G323*60</f>
        <v>212640</v>
      </c>
      <c r="I323" s="555">
        <f t="shared" si="131"/>
        <v>91540</v>
      </c>
      <c r="J323" s="555">
        <f t="shared" si="132"/>
        <v>1907.0833333333333</v>
      </c>
      <c r="K323" s="555">
        <f t="shared" si="136"/>
        <v>101973.75000000001</v>
      </c>
      <c r="L323" s="556">
        <f t="shared" si="137"/>
        <v>92.549510473114779</v>
      </c>
      <c r="M323" s="557">
        <f t="shared" si="134"/>
        <v>125.30694792893351</v>
      </c>
    </row>
    <row r="324" spans="2:13" s="313" customFormat="1" ht="12" customHeight="1">
      <c r="B324" s="531" t="s">
        <v>166</v>
      </c>
      <c r="C324" s="270" t="s">
        <v>166</v>
      </c>
      <c r="D324" s="544">
        <v>497400</v>
      </c>
      <c r="E324" s="291">
        <f t="shared" ref="E324:E325" si="140">AVERAGE(D277:D324)</f>
        <v>516456.25</v>
      </c>
      <c r="F324" s="292">
        <f t="shared" si="130"/>
        <v>103291.25</v>
      </c>
      <c r="G324" s="293">
        <v>3473</v>
      </c>
      <c r="H324" s="293">
        <f t="shared" si="139"/>
        <v>208380</v>
      </c>
      <c r="I324" s="555">
        <f t="shared" si="131"/>
        <v>80600</v>
      </c>
      <c r="J324" s="555">
        <f t="shared" si="132"/>
        <v>1679.1666666666667</v>
      </c>
      <c r="K324" s="555">
        <f t="shared" si="136"/>
        <v>101612.08333333333</v>
      </c>
      <c r="L324" s="556">
        <f t="shared" si="137"/>
        <v>92.814081826831583</v>
      </c>
      <c r="M324" s="557">
        <f t="shared" si="134"/>
        <v>124.86252624033587</v>
      </c>
    </row>
    <row r="325" spans="2:13" s="313" customFormat="1" ht="12" customHeight="1">
      <c r="B325" s="452" t="s">
        <v>167</v>
      </c>
      <c r="C325" s="287" t="s">
        <v>167</v>
      </c>
      <c r="D325" s="376">
        <v>580500</v>
      </c>
      <c r="E325" s="579">
        <f t="shared" si="140"/>
        <v>514114.58333333331</v>
      </c>
      <c r="F325" s="580">
        <f t="shared" si="130"/>
        <v>102822.91666666667</v>
      </c>
      <c r="G325" s="581">
        <v>3532</v>
      </c>
      <c r="H325" s="581">
        <f t="shared" si="139"/>
        <v>211920</v>
      </c>
      <c r="I325" s="529">
        <f t="shared" si="131"/>
        <v>73340</v>
      </c>
      <c r="J325" s="529">
        <f t="shared" si="132"/>
        <v>1527.9166666666667</v>
      </c>
      <c r="K325" s="529">
        <f>F325-J325</f>
        <v>101295</v>
      </c>
      <c r="L325" s="582">
        <f t="shared" si="137"/>
        <v>93.374866049309205</v>
      </c>
      <c r="M325" s="583">
        <f t="shared" si="134"/>
        <v>124.47288925298243</v>
      </c>
    </row>
    <row r="326" spans="2:13" s="313" customFormat="1" ht="12" customHeight="1">
      <c r="B326" s="531" t="s">
        <v>417</v>
      </c>
      <c r="C326" s="262" t="s">
        <v>418</v>
      </c>
      <c r="D326" s="544">
        <v>585100</v>
      </c>
      <c r="E326" s="291">
        <f>AVERAGE(D279:D326)</f>
        <v>511791.66666666669</v>
      </c>
      <c r="F326" s="292">
        <f t="shared" si="130"/>
        <v>102358.33333333334</v>
      </c>
      <c r="G326" s="560">
        <v>3603</v>
      </c>
      <c r="H326" s="293">
        <f t="shared" si="139"/>
        <v>216180</v>
      </c>
      <c r="I326" s="555">
        <f t="shared" si="131"/>
        <v>76860</v>
      </c>
      <c r="J326" s="555">
        <f t="shared" si="132"/>
        <v>1601.25</v>
      </c>
      <c r="K326" s="555">
        <f t="shared" ref="K326:K328" si="141">F326-J326</f>
        <v>100757.08333333334</v>
      </c>
      <c r="L326" s="556">
        <f t="shared" si="137"/>
        <v>93.472824049199289</v>
      </c>
      <c r="M326" s="557">
        <f t="shared" si="134"/>
        <v>123.81188879217655</v>
      </c>
    </row>
    <row r="327" spans="2:13" s="313" customFormat="1" ht="12" customHeight="1">
      <c r="B327" s="531" t="s">
        <v>419</v>
      </c>
      <c r="C327" s="262" t="s">
        <v>419</v>
      </c>
      <c r="D327" s="544">
        <v>615700</v>
      </c>
      <c r="E327" s="291">
        <f>AVERAGE(D280:D327)</f>
        <v>509975</v>
      </c>
      <c r="F327" s="292">
        <f t="shared" si="130"/>
        <v>101995</v>
      </c>
      <c r="G327" s="560">
        <v>3867</v>
      </c>
      <c r="H327" s="293">
        <f t="shared" si="139"/>
        <v>232020</v>
      </c>
      <c r="I327" s="555">
        <f t="shared" si="131"/>
        <v>91440</v>
      </c>
      <c r="J327" s="555">
        <f t="shared" si="132"/>
        <v>1905</v>
      </c>
      <c r="K327" s="555">
        <f t="shared" si="141"/>
        <v>100090</v>
      </c>
      <c r="L327" s="556">
        <f t="shared" si="137"/>
        <v>93.209579537164927</v>
      </c>
      <c r="M327" s="557">
        <f t="shared" si="134"/>
        <v>122.99216629972862</v>
      </c>
    </row>
    <row r="328" spans="2:13" s="313" customFormat="1" ht="12" customHeight="1">
      <c r="B328" s="531" t="s">
        <v>168</v>
      </c>
      <c r="C328" s="262" t="s">
        <v>168</v>
      </c>
      <c r="D328" s="544"/>
      <c r="E328" s="592">
        <f>AVERAGE(D281:D328)</f>
        <v>506061.70212765958</v>
      </c>
      <c r="F328" s="593">
        <f t="shared" si="130"/>
        <v>101212.34042553192</v>
      </c>
      <c r="G328" s="594"/>
      <c r="H328" s="595">
        <f t="shared" si="139"/>
        <v>0</v>
      </c>
      <c r="I328" s="596">
        <f t="shared" si="131"/>
        <v>-138780</v>
      </c>
      <c r="J328" s="596">
        <f t="shared" si="132"/>
        <v>-2891.25</v>
      </c>
      <c r="K328" s="596">
        <f t="shared" si="141"/>
        <v>104103.59042553192</v>
      </c>
      <c r="L328" s="597">
        <f t="shared" si="137"/>
        <v>97.217738987807962</v>
      </c>
      <c r="M328" s="598">
        <f t="shared" si="134"/>
        <v>127.92412934374921</v>
      </c>
    </row>
    <row r="329" spans="2:13" s="313" customFormat="1" ht="12" customHeight="1">
      <c r="B329" s="531" t="s">
        <v>420</v>
      </c>
      <c r="C329" s="262" t="s">
        <v>420</v>
      </c>
      <c r="D329" s="544"/>
      <c r="E329" s="592">
        <f t="shared" ref="E329:E330" si="142">AVERAGE(D282:D329)</f>
        <v>501791.30434782611</v>
      </c>
      <c r="F329" s="593">
        <f t="shared" si="130"/>
        <v>100358.26086956523</v>
      </c>
      <c r="G329" s="594"/>
      <c r="H329" s="595">
        <f t="shared" si="139"/>
        <v>0</v>
      </c>
      <c r="I329" s="596">
        <f t="shared" si="131"/>
        <v>-140500</v>
      </c>
      <c r="J329" s="596">
        <f t="shared" si="132"/>
        <v>-2927.0833333333335</v>
      </c>
      <c r="K329" s="596">
        <f>F329-J329</f>
        <v>103285.34420289856</v>
      </c>
      <c r="L329" s="597">
        <f>K329/K317*100</f>
        <v>97.022159545254269</v>
      </c>
      <c r="M329" s="598">
        <f t="shared" si="134"/>
        <v>126.91865551531234</v>
      </c>
    </row>
    <row r="330" spans="2:13" s="313" customFormat="1" ht="12" customHeight="1">
      <c r="B330" s="531" t="s">
        <v>160</v>
      </c>
      <c r="C330" s="262" t="s">
        <v>160</v>
      </c>
      <c r="D330" s="544"/>
      <c r="E330" s="592">
        <f t="shared" si="142"/>
        <v>499102.22222222225</v>
      </c>
      <c r="F330" s="593">
        <f t="shared" si="130"/>
        <v>99820.444444444453</v>
      </c>
      <c r="G330" s="594"/>
      <c r="H330" s="595">
        <f t="shared" si="139"/>
        <v>0</v>
      </c>
      <c r="I330" s="596">
        <f t="shared" si="131"/>
        <v>-124560</v>
      </c>
      <c r="J330" s="596">
        <f t="shared" si="132"/>
        <v>-2595</v>
      </c>
      <c r="K330" s="596">
        <f t="shared" ref="K330:K336" si="143">F330-J330</f>
        <v>102415.44444444445</v>
      </c>
      <c r="L330" s="597">
        <f t="shared" ref="L330:L337" si="144">K330/K318*100</f>
        <v>96.974373946275492</v>
      </c>
      <c r="M330" s="598">
        <f t="shared" si="134"/>
        <v>125.84970900960866</v>
      </c>
    </row>
    <row r="331" spans="2:13" s="313" customFormat="1" ht="12" customHeight="1">
      <c r="B331" s="531" t="s">
        <v>161</v>
      </c>
      <c r="C331" s="262" t="s">
        <v>161</v>
      </c>
      <c r="D331" s="544"/>
      <c r="E331" s="592">
        <f>AVERAGE(D284:D331)</f>
        <v>496586.36363636365</v>
      </c>
      <c r="F331" s="593">
        <f t="shared" si="130"/>
        <v>99317.272727272735</v>
      </c>
      <c r="G331" s="594"/>
      <c r="H331" s="595">
        <f t="shared" si="139"/>
        <v>0</v>
      </c>
      <c r="I331" s="596">
        <f t="shared" si="131"/>
        <v>-121960</v>
      </c>
      <c r="J331" s="596">
        <f t="shared" si="132"/>
        <v>-2540.8333333333335</v>
      </c>
      <c r="K331" s="596">
        <f t="shared" si="143"/>
        <v>101858.10606060606</v>
      </c>
      <c r="L331" s="597">
        <f t="shared" si="144"/>
        <v>97.213720560813215</v>
      </c>
      <c r="M331" s="598">
        <f t="shared" si="134"/>
        <v>125.16484283726103</v>
      </c>
    </row>
    <row r="332" spans="2:13" s="313" customFormat="1" ht="12" customHeight="1">
      <c r="B332" s="531" t="s">
        <v>421</v>
      </c>
      <c r="C332" s="262" t="s">
        <v>421</v>
      </c>
      <c r="D332" s="544"/>
      <c r="E332" s="592">
        <f t="shared" ref="E332:E334" si="145">AVERAGE(D285:D332)</f>
        <v>494258.13953488372</v>
      </c>
      <c r="F332" s="593">
        <f t="shared" si="130"/>
        <v>98851.627906976748</v>
      </c>
      <c r="G332" s="594"/>
      <c r="H332" s="595">
        <f t="shared" si="139"/>
        <v>0</v>
      </c>
      <c r="I332" s="596">
        <f t="shared" si="131"/>
        <v>-119340</v>
      </c>
      <c r="J332" s="596">
        <f t="shared" si="132"/>
        <v>-2486.25</v>
      </c>
      <c r="K332" s="596">
        <f t="shared" si="143"/>
        <v>101337.87790697675</v>
      </c>
      <c r="L332" s="597">
        <f t="shared" si="144"/>
        <v>97.49495188677308</v>
      </c>
      <c r="M332" s="598">
        <f t="shared" si="134"/>
        <v>124.52557829949524</v>
      </c>
    </row>
    <row r="333" spans="2:13" s="313" customFormat="1" ht="12" customHeight="1">
      <c r="B333" s="531" t="s">
        <v>422</v>
      </c>
      <c r="C333" s="262" t="s">
        <v>422</v>
      </c>
      <c r="D333" s="544"/>
      <c r="E333" s="592">
        <f t="shared" si="145"/>
        <v>492023.80952380953</v>
      </c>
      <c r="F333" s="593">
        <f t="shared" si="130"/>
        <v>98404.761904761908</v>
      </c>
      <c r="G333" s="594"/>
      <c r="H333" s="595">
        <f t="shared" si="139"/>
        <v>0</v>
      </c>
      <c r="I333" s="596">
        <f t="shared" si="131"/>
        <v>-117620</v>
      </c>
      <c r="J333" s="596">
        <f t="shared" si="132"/>
        <v>-2450.4166666666665</v>
      </c>
      <c r="K333" s="596">
        <f t="shared" si="143"/>
        <v>100855.17857142858</v>
      </c>
      <c r="L333" s="597">
        <f t="shared" si="144"/>
        <v>97.639975543429742</v>
      </c>
      <c r="M333" s="598">
        <f t="shared" si="134"/>
        <v>123.9324297636724</v>
      </c>
    </row>
    <row r="334" spans="2:13" s="313" customFormat="1" ht="12" customHeight="1">
      <c r="B334" s="531" t="s">
        <v>164</v>
      </c>
      <c r="C334" s="262" t="s">
        <v>164</v>
      </c>
      <c r="D334" s="544"/>
      <c r="E334" s="592">
        <f t="shared" si="145"/>
        <v>490580.48780487804</v>
      </c>
      <c r="F334" s="593">
        <f t="shared" si="130"/>
        <v>98116.097560975613</v>
      </c>
      <c r="G334" s="595"/>
      <c r="H334" s="595">
        <f>G334*60</f>
        <v>0</v>
      </c>
      <c r="I334" s="596">
        <f t="shared" si="131"/>
        <v>-110240</v>
      </c>
      <c r="J334" s="596">
        <f t="shared" si="132"/>
        <v>-2296.6666666666665</v>
      </c>
      <c r="K334" s="596">
        <f t="shared" si="143"/>
        <v>100412.76422764228</v>
      </c>
      <c r="L334" s="597">
        <f t="shared" si="144"/>
        <v>97.897213739592004</v>
      </c>
      <c r="M334" s="598">
        <f t="shared" si="134"/>
        <v>123.38878405936281</v>
      </c>
    </row>
    <row r="335" spans="2:13" s="313" customFormat="1" ht="12" customHeight="1">
      <c r="B335" s="531" t="s">
        <v>165</v>
      </c>
      <c r="C335" s="262" t="s">
        <v>165</v>
      </c>
      <c r="D335" s="544"/>
      <c r="E335" s="592">
        <f>AVERAGE(D288:D335)</f>
        <v>489772.5</v>
      </c>
      <c r="F335" s="593">
        <f t="shared" si="130"/>
        <v>97954.5</v>
      </c>
      <c r="G335" s="595"/>
      <c r="H335" s="595">
        <f t="shared" ref="H335:H337" si="146">G335*60</f>
        <v>0</v>
      </c>
      <c r="I335" s="596">
        <f t="shared" si="131"/>
        <v>-104580</v>
      </c>
      <c r="J335" s="596">
        <f t="shared" si="132"/>
        <v>-2178.75</v>
      </c>
      <c r="K335" s="596">
        <f t="shared" si="143"/>
        <v>100133.25</v>
      </c>
      <c r="L335" s="597">
        <f t="shared" si="144"/>
        <v>98.195123745081432</v>
      </c>
      <c r="M335" s="598">
        <f t="shared" si="134"/>
        <v>123.04531258000102</v>
      </c>
    </row>
    <row r="336" spans="2:13" s="313" customFormat="1" ht="12" customHeight="1">
      <c r="B336" s="531" t="s">
        <v>166</v>
      </c>
      <c r="C336" s="262" t="s">
        <v>166</v>
      </c>
      <c r="D336" s="544"/>
      <c r="E336" s="592">
        <f t="shared" ref="E336:E337" si="147">AVERAGE(D289:D336)</f>
        <v>489212.8205128205</v>
      </c>
      <c r="F336" s="593">
        <f t="shared" si="130"/>
        <v>97842.564102564109</v>
      </c>
      <c r="G336" s="595"/>
      <c r="H336" s="595">
        <f t="shared" si="146"/>
        <v>0</v>
      </c>
      <c r="I336" s="596">
        <f t="shared" si="131"/>
        <v>-102320</v>
      </c>
      <c r="J336" s="596">
        <f t="shared" si="132"/>
        <v>-2131.6666666666665</v>
      </c>
      <c r="K336" s="596">
        <f t="shared" si="143"/>
        <v>99974.23076923078</v>
      </c>
      <c r="L336" s="597">
        <f t="shared" si="144"/>
        <v>98.388132089832609</v>
      </c>
      <c r="M336" s="598">
        <f t="shared" si="134"/>
        <v>122.84990724804355</v>
      </c>
    </row>
    <row r="337" spans="2:13" s="313" customFormat="1" ht="12" customHeight="1">
      <c r="B337" s="452" t="s">
        <v>167</v>
      </c>
      <c r="C337" s="267" t="s">
        <v>167</v>
      </c>
      <c r="D337" s="376"/>
      <c r="E337" s="599">
        <f t="shared" si="147"/>
        <v>488073.68421052629</v>
      </c>
      <c r="F337" s="600">
        <f t="shared" si="130"/>
        <v>97614.736842105267</v>
      </c>
      <c r="G337" s="601"/>
      <c r="H337" s="601">
        <f t="shared" si="146"/>
        <v>0</v>
      </c>
      <c r="I337" s="602">
        <f t="shared" si="131"/>
        <v>-106500</v>
      </c>
      <c r="J337" s="602">
        <f t="shared" si="132"/>
        <v>-2218.75</v>
      </c>
      <c r="K337" s="602">
        <f>F337-J337</f>
        <v>99833.486842105267</v>
      </c>
      <c r="L337" s="603">
        <f t="shared" si="144"/>
        <v>98.557171471548713</v>
      </c>
      <c r="M337" s="604">
        <f t="shared" si="134"/>
        <v>122.67695889665282</v>
      </c>
    </row>
    <row r="338" spans="2:13" ht="12" customHeight="1">
      <c r="B338" s="241" t="s">
        <v>335</v>
      </c>
    </row>
    <row r="339" spans="2:13" ht="12" customHeight="1">
      <c r="B339" s="87" t="s">
        <v>367</v>
      </c>
    </row>
    <row r="340" spans="2:13" ht="12" customHeight="1">
      <c r="B340" s="193" t="s">
        <v>365</v>
      </c>
    </row>
    <row r="341" spans="2:13" ht="12" customHeight="1">
      <c r="M341" s="89" t="str">
        <f>'元データ表（DATA1）'!T210</f>
        <v>毎月1回更新、最優更新日2025/4/18</v>
      </c>
    </row>
  </sheetData>
  <mergeCells count="27">
    <mergeCell ref="D9:D10"/>
    <mergeCell ref="E9:E10"/>
    <mergeCell ref="H11:H13"/>
    <mergeCell ref="I11:I13"/>
    <mergeCell ref="J11:J13"/>
    <mergeCell ref="K11:K13"/>
    <mergeCell ref="F9:F10"/>
    <mergeCell ref="G9:G10"/>
    <mergeCell ref="H9:H10"/>
    <mergeCell ref="I9:I10"/>
    <mergeCell ref="J9:J10"/>
    <mergeCell ref="M9:M13"/>
    <mergeCell ref="L9:L13"/>
    <mergeCell ref="B9:C13"/>
    <mergeCell ref="B4:C4"/>
    <mergeCell ref="B5:C5"/>
    <mergeCell ref="D6:F8"/>
    <mergeCell ref="G6:H8"/>
    <mergeCell ref="I6:M8"/>
    <mergeCell ref="D4:M4"/>
    <mergeCell ref="D5:M5"/>
    <mergeCell ref="B6:C8"/>
    <mergeCell ref="K9:K10"/>
    <mergeCell ref="D11:D13"/>
    <mergeCell ref="E11:E13"/>
    <mergeCell ref="F11:F13"/>
    <mergeCell ref="G11:G13"/>
  </mergeCells>
  <phoneticPr fontId="2"/>
  <pageMargins left="0.59055118110236227" right="0" top="0.59055118110236227" bottom="0" header="0" footer="0"/>
  <pageSetup paperSize="9" scale="90" orientation="landscape" horizontalDpi="4294967294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2:AC346"/>
  <sheetViews>
    <sheetView showGridLines="0" topLeftCell="A2" zoomScale="85" zoomScaleNormal="85" workbookViewId="0">
      <pane xSplit="3" ySplit="12" topLeftCell="D311" activePane="bottomRight" state="frozen"/>
      <selection activeCell="J188" sqref="J188"/>
      <selection pane="topRight" activeCell="J188" sqref="J188"/>
      <selection pane="bottomLeft" activeCell="J188" sqref="J188"/>
      <selection pane="bottomRight" activeCell="Q341" sqref="Q341"/>
    </sheetView>
  </sheetViews>
  <sheetFormatPr defaultColWidth="7.625" defaultRowHeight="12" customHeight="1"/>
  <cols>
    <col min="1" max="1" width="5.625" style="73" customWidth="1"/>
    <col min="2" max="2" width="7.625" style="73"/>
    <col min="3" max="3" width="10.625" style="73" customWidth="1"/>
    <col min="4" max="4" width="8" style="73" bestFit="1" customWidth="1"/>
    <col min="5" max="6" width="10.625" style="73" customWidth="1"/>
    <col min="7" max="7" width="10" style="79" bestFit="1" customWidth="1"/>
    <col min="8" max="8" width="8" style="73" bestFit="1" customWidth="1"/>
    <col min="9" max="10" width="10.625" style="73" customWidth="1"/>
    <col min="11" max="11" width="8" style="73" bestFit="1" customWidth="1"/>
    <col min="12" max="13" width="8.125" style="79" bestFit="1" customWidth="1"/>
    <col min="14" max="14" width="8.125" style="73" bestFit="1" customWidth="1"/>
    <col min="15" max="15" width="8" style="73" bestFit="1" customWidth="1"/>
    <col min="16" max="16" width="10" style="79" bestFit="1" customWidth="1"/>
    <col min="17" max="17" width="9" style="79" bestFit="1" customWidth="1"/>
    <col min="18" max="18" width="10" style="79" bestFit="1" customWidth="1"/>
    <col min="19" max="22" width="8" style="73" bestFit="1" customWidth="1"/>
    <col min="23" max="23" width="9.375" style="79" bestFit="1" customWidth="1"/>
    <col min="24" max="24" width="7.625" style="73" customWidth="1"/>
    <col min="25" max="26" width="12.625" style="73" customWidth="1"/>
    <col min="27" max="16384" width="7.625" style="73"/>
  </cols>
  <sheetData>
    <row r="2" spans="2:26" s="242" customFormat="1" ht="15" customHeight="1">
      <c r="B2" s="243" t="s">
        <v>338</v>
      </c>
      <c r="C2" s="244"/>
      <c r="D2" s="244"/>
      <c r="E2" s="245"/>
    </row>
    <row r="3" spans="2:26" ht="12" customHeight="1">
      <c r="B3" s="74"/>
      <c r="C3" s="74"/>
      <c r="D3" s="74"/>
      <c r="E3" s="74"/>
      <c r="F3" s="74"/>
      <c r="G3" s="78"/>
      <c r="H3" s="74"/>
      <c r="I3" s="74"/>
      <c r="J3" s="74"/>
      <c r="K3" s="74"/>
      <c r="L3" s="78"/>
      <c r="M3" s="78"/>
      <c r="N3" s="74"/>
      <c r="O3" s="74"/>
      <c r="P3" s="78"/>
      <c r="Q3" s="78"/>
      <c r="R3" s="78"/>
      <c r="S3" s="74"/>
      <c r="T3" s="74"/>
      <c r="U3" s="74"/>
      <c r="V3" s="74"/>
      <c r="W3" s="78"/>
      <c r="X3" s="74"/>
      <c r="Y3" s="74"/>
      <c r="Z3" s="74"/>
    </row>
    <row r="4" spans="2:26" ht="12" customHeight="1">
      <c r="B4" s="268" t="s">
        <v>7</v>
      </c>
      <c r="C4" s="269"/>
      <c r="D4" s="248" t="s">
        <v>340</v>
      </c>
      <c r="E4" s="249" t="s">
        <v>341</v>
      </c>
      <c r="F4" s="249" t="s">
        <v>342</v>
      </c>
      <c r="G4" s="668" t="s">
        <v>343</v>
      </c>
      <c r="H4" s="668"/>
      <c r="I4" s="668"/>
      <c r="J4" s="668"/>
      <c r="K4" s="668"/>
      <c r="L4" s="668" t="s">
        <v>344</v>
      </c>
      <c r="M4" s="668"/>
      <c r="N4" s="668"/>
      <c r="O4" s="668"/>
      <c r="P4" s="668" t="s">
        <v>345</v>
      </c>
      <c r="Q4" s="683"/>
      <c r="R4" s="683"/>
      <c r="S4" s="683"/>
      <c r="T4" s="668" t="s">
        <v>346</v>
      </c>
      <c r="U4" s="668"/>
      <c r="V4" s="668"/>
      <c r="W4" s="668" t="s">
        <v>347</v>
      </c>
      <c r="X4" s="668"/>
      <c r="Y4" s="668"/>
      <c r="Z4" s="669"/>
    </row>
    <row r="5" spans="2:26" ht="12" customHeight="1">
      <c r="B5" s="681" t="s">
        <v>8</v>
      </c>
      <c r="C5" s="682"/>
      <c r="D5" s="247" t="s">
        <v>9</v>
      </c>
      <c r="E5" s="246" t="s">
        <v>10</v>
      </c>
      <c r="F5" s="246" t="s">
        <v>11</v>
      </c>
      <c r="G5" s="646" t="s">
        <v>12</v>
      </c>
      <c r="H5" s="646"/>
      <c r="I5" s="646"/>
      <c r="J5" s="646"/>
      <c r="K5" s="646"/>
      <c r="L5" s="646" t="s">
        <v>13</v>
      </c>
      <c r="M5" s="646"/>
      <c r="N5" s="646"/>
      <c r="O5" s="646"/>
      <c r="P5" s="646" t="s">
        <v>14</v>
      </c>
      <c r="Q5" s="684"/>
      <c r="R5" s="684"/>
      <c r="S5" s="684"/>
      <c r="T5" s="646" t="s">
        <v>15</v>
      </c>
      <c r="U5" s="646"/>
      <c r="V5" s="646"/>
      <c r="W5" s="646" t="s">
        <v>16</v>
      </c>
      <c r="X5" s="646"/>
      <c r="Y5" s="646"/>
      <c r="Z5" s="666"/>
    </row>
    <row r="6" spans="2:26" ht="12" customHeight="1">
      <c r="B6" s="675" t="s">
        <v>17</v>
      </c>
      <c r="C6" s="676"/>
      <c r="D6" s="652" t="s">
        <v>18</v>
      </c>
      <c r="E6" s="642"/>
      <c r="F6" s="642"/>
      <c r="G6" s="641" t="s">
        <v>19</v>
      </c>
      <c r="H6" s="641"/>
      <c r="I6" s="641"/>
      <c r="J6" s="641"/>
      <c r="K6" s="641"/>
      <c r="L6" s="649" t="s">
        <v>290</v>
      </c>
      <c r="M6" s="649"/>
      <c r="N6" s="649"/>
      <c r="O6" s="649"/>
      <c r="P6" s="646" t="s">
        <v>291</v>
      </c>
      <c r="Q6" s="646"/>
      <c r="R6" s="646"/>
      <c r="S6" s="646"/>
      <c r="T6" s="646" t="s">
        <v>20</v>
      </c>
      <c r="U6" s="646"/>
      <c r="V6" s="646"/>
      <c r="W6" s="646" t="s">
        <v>21</v>
      </c>
      <c r="X6" s="646"/>
      <c r="Y6" s="646"/>
      <c r="Z6" s="666"/>
    </row>
    <row r="7" spans="2:26" ht="12" customHeight="1">
      <c r="B7" s="677"/>
      <c r="C7" s="678"/>
      <c r="D7" s="652"/>
      <c r="E7" s="642"/>
      <c r="F7" s="642"/>
      <c r="G7" s="641"/>
      <c r="H7" s="641"/>
      <c r="I7" s="641"/>
      <c r="J7" s="641"/>
      <c r="K7" s="641"/>
      <c r="L7" s="649"/>
      <c r="M7" s="649"/>
      <c r="N7" s="649"/>
      <c r="O7" s="649"/>
      <c r="P7" s="646"/>
      <c r="Q7" s="646"/>
      <c r="R7" s="646"/>
      <c r="S7" s="646"/>
      <c r="T7" s="646"/>
      <c r="U7" s="646"/>
      <c r="V7" s="646"/>
      <c r="W7" s="646"/>
      <c r="X7" s="646"/>
      <c r="Y7" s="646"/>
      <c r="Z7" s="666"/>
    </row>
    <row r="8" spans="2:26" ht="12" customHeight="1">
      <c r="B8" s="677"/>
      <c r="C8" s="678"/>
      <c r="D8" s="652"/>
      <c r="E8" s="642"/>
      <c r="F8" s="642"/>
      <c r="G8" s="641"/>
      <c r="H8" s="641"/>
      <c r="I8" s="641"/>
      <c r="J8" s="641"/>
      <c r="K8" s="641"/>
      <c r="L8" s="649"/>
      <c r="M8" s="649"/>
      <c r="N8" s="649"/>
      <c r="O8" s="649"/>
      <c r="P8" s="646"/>
      <c r="Q8" s="646"/>
      <c r="R8" s="646"/>
      <c r="S8" s="646"/>
      <c r="T8" s="646"/>
      <c r="U8" s="646"/>
      <c r="V8" s="646"/>
      <c r="W8" s="646"/>
      <c r="X8" s="646"/>
      <c r="Y8" s="646"/>
      <c r="Z8" s="666"/>
    </row>
    <row r="9" spans="2:26" ht="12" customHeight="1">
      <c r="B9" s="677"/>
      <c r="C9" s="678"/>
      <c r="D9" s="652"/>
      <c r="E9" s="642"/>
      <c r="F9" s="642"/>
      <c r="G9" s="641"/>
      <c r="H9" s="641"/>
      <c r="I9" s="641"/>
      <c r="J9" s="641"/>
      <c r="K9" s="641"/>
      <c r="L9" s="649"/>
      <c r="M9" s="649"/>
      <c r="N9" s="649"/>
      <c r="O9" s="649"/>
      <c r="P9" s="646"/>
      <c r="Q9" s="646"/>
      <c r="R9" s="646"/>
      <c r="S9" s="646"/>
      <c r="T9" s="646"/>
      <c r="U9" s="646"/>
      <c r="V9" s="646"/>
      <c r="W9" s="646"/>
      <c r="X9" s="646"/>
      <c r="Y9" s="646"/>
      <c r="Z9" s="666"/>
    </row>
    <row r="10" spans="2:26" ht="12" customHeight="1">
      <c r="B10" s="677"/>
      <c r="C10" s="678"/>
      <c r="D10" s="658" t="s">
        <v>292</v>
      </c>
      <c r="E10" s="649" t="s">
        <v>279</v>
      </c>
      <c r="F10" s="649" t="s">
        <v>174</v>
      </c>
      <c r="G10" s="649" t="s">
        <v>175</v>
      </c>
      <c r="H10" s="649" t="s">
        <v>293</v>
      </c>
      <c r="I10" s="650" t="s">
        <v>265</v>
      </c>
      <c r="J10" s="650" t="s">
        <v>176</v>
      </c>
      <c r="K10" s="650" t="s">
        <v>180</v>
      </c>
      <c r="L10" s="674" t="s">
        <v>22</v>
      </c>
      <c r="M10" s="674" t="s">
        <v>23</v>
      </c>
      <c r="N10" s="674" t="s">
        <v>24</v>
      </c>
      <c r="O10" s="650" t="s">
        <v>180</v>
      </c>
      <c r="P10" s="649" t="s">
        <v>177</v>
      </c>
      <c r="Q10" s="649" t="s">
        <v>178</v>
      </c>
      <c r="R10" s="674" t="s">
        <v>25</v>
      </c>
      <c r="S10" s="650" t="s">
        <v>180</v>
      </c>
      <c r="T10" s="646" t="s">
        <v>294</v>
      </c>
      <c r="U10" s="649" t="s">
        <v>179</v>
      </c>
      <c r="V10" s="646" t="s">
        <v>26</v>
      </c>
      <c r="W10" s="646" t="s">
        <v>27</v>
      </c>
      <c r="X10" s="649" t="s">
        <v>295</v>
      </c>
      <c r="Y10" s="650" t="s">
        <v>28</v>
      </c>
      <c r="Z10" s="679" t="s">
        <v>180</v>
      </c>
    </row>
    <row r="11" spans="2:26" ht="12" customHeight="1">
      <c r="B11" s="677"/>
      <c r="C11" s="678"/>
      <c r="D11" s="645"/>
      <c r="E11" s="646"/>
      <c r="F11" s="646"/>
      <c r="G11" s="646"/>
      <c r="H11" s="646"/>
      <c r="I11" s="674"/>
      <c r="J11" s="674"/>
      <c r="K11" s="674"/>
      <c r="L11" s="674"/>
      <c r="M11" s="674"/>
      <c r="N11" s="674"/>
      <c r="O11" s="674"/>
      <c r="P11" s="646"/>
      <c r="Q11" s="646"/>
      <c r="R11" s="674"/>
      <c r="S11" s="674"/>
      <c r="T11" s="646"/>
      <c r="U11" s="646"/>
      <c r="V11" s="646"/>
      <c r="W11" s="646"/>
      <c r="X11" s="646"/>
      <c r="Y11" s="674"/>
      <c r="Z11" s="680"/>
    </row>
    <row r="12" spans="2:26" ht="12.75" customHeight="1">
      <c r="B12" s="677"/>
      <c r="C12" s="678"/>
      <c r="D12" s="645"/>
      <c r="E12" s="646"/>
      <c r="F12" s="646"/>
      <c r="G12" s="646"/>
      <c r="H12" s="646"/>
      <c r="I12" s="674"/>
      <c r="J12" s="674"/>
      <c r="K12" s="674"/>
      <c r="L12" s="674"/>
      <c r="M12" s="674"/>
      <c r="N12" s="674"/>
      <c r="O12" s="674"/>
      <c r="P12" s="646"/>
      <c r="Q12" s="646"/>
      <c r="R12" s="674"/>
      <c r="S12" s="674"/>
      <c r="T12" s="646"/>
      <c r="U12" s="646"/>
      <c r="V12" s="646"/>
      <c r="W12" s="646"/>
      <c r="X12" s="646"/>
      <c r="Y12" s="674"/>
      <c r="Z12" s="680"/>
    </row>
    <row r="13" spans="2:26" ht="12" customHeight="1">
      <c r="B13" s="672" t="s">
        <v>29</v>
      </c>
      <c r="C13" s="673"/>
      <c r="D13" s="108" t="s">
        <v>30</v>
      </c>
      <c r="E13" s="109" t="s">
        <v>30</v>
      </c>
      <c r="F13" s="109" t="s">
        <v>30</v>
      </c>
      <c r="G13" s="109" t="s">
        <v>30</v>
      </c>
      <c r="H13" s="109" t="s">
        <v>30</v>
      </c>
      <c r="I13" s="109" t="s">
        <v>30</v>
      </c>
      <c r="J13" s="109" t="s">
        <v>30</v>
      </c>
      <c r="K13" s="109" t="s">
        <v>30</v>
      </c>
      <c r="L13" s="110">
        <v>65.15080481325208</v>
      </c>
      <c r="M13" s="111">
        <v>34.849195186747934</v>
      </c>
      <c r="N13" s="111">
        <v>100</v>
      </c>
      <c r="O13" s="109" t="s">
        <v>30</v>
      </c>
      <c r="P13" s="109" t="s">
        <v>30</v>
      </c>
      <c r="Q13" s="109" t="s">
        <v>30</v>
      </c>
      <c r="R13" s="109" t="s">
        <v>30</v>
      </c>
      <c r="S13" s="109" t="s">
        <v>30</v>
      </c>
      <c r="T13" s="109">
        <v>22.7</v>
      </c>
      <c r="U13" s="109">
        <v>77.3</v>
      </c>
      <c r="V13" s="111">
        <v>100</v>
      </c>
      <c r="W13" s="109" t="s">
        <v>30</v>
      </c>
      <c r="X13" s="109" t="s">
        <v>30</v>
      </c>
      <c r="Y13" s="109" t="s">
        <v>30</v>
      </c>
      <c r="Z13" s="112" t="s">
        <v>30</v>
      </c>
    </row>
    <row r="14" spans="2:26" ht="12" hidden="1" customHeight="1">
      <c r="B14" s="103" t="s">
        <v>181</v>
      </c>
      <c r="C14" s="270" t="s">
        <v>267</v>
      </c>
      <c r="D14" s="117">
        <v>100.95</v>
      </c>
      <c r="E14" s="118">
        <v>100.11</v>
      </c>
      <c r="F14" s="118">
        <v>100.77</v>
      </c>
      <c r="G14" s="119">
        <v>310000</v>
      </c>
      <c r="H14" s="120">
        <v>143</v>
      </c>
      <c r="I14" s="119">
        <f>G14/H14</f>
        <v>2167.8321678321677</v>
      </c>
      <c r="J14" s="119"/>
      <c r="K14" s="119"/>
      <c r="L14" s="119">
        <v>9082</v>
      </c>
      <c r="M14" s="119">
        <v>6416</v>
      </c>
      <c r="N14" s="119">
        <f>($L$13*L14+$M$13*M14)/100</f>
        <v>8152.9204563213025</v>
      </c>
      <c r="O14" s="121">
        <f t="shared" ref="O14:O77" si="0">N14/$N$85*100</f>
        <v>102.25022655727527</v>
      </c>
      <c r="P14" s="122">
        <v>85190</v>
      </c>
      <c r="Q14" s="119">
        <v>14800</v>
      </c>
      <c r="R14" s="119">
        <f>AVERAGE(P14:Q14)</f>
        <v>49995</v>
      </c>
      <c r="S14" s="123">
        <f t="shared" ref="S14:S77" si="1">R14/$R$85*100</f>
        <v>58.841876066615662</v>
      </c>
      <c r="T14" s="119"/>
      <c r="U14" s="119"/>
      <c r="V14" s="119"/>
      <c r="W14" s="124">
        <v>37262</v>
      </c>
      <c r="X14" s="125">
        <v>1.3</v>
      </c>
      <c r="Y14" s="126">
        <v>1.3</v>
      </c>
      <c r="Z14" s="127"/>
    </row>
    <row r="15" spans="2:26" ht="12" hidden="1" customHeight="1">
      <c r="B15" s="103" t="s">
        <v>182</v>
      </c>
      <c r="C15" s="270" t="s">
        <v>182</v>
      </c>
      <c r="D15" s="128">
        <v>100.95</v>
      </c>
      <c r="E15" s="129">
        <v>100.11</v>
      </c>
      <c r="F15" s="129">
        <v>100.67</v>
      </c>
      <c r="G15" s="130">
        <v>292756</v>
      </c>
      <c r="H15" s="131">
        <v>162.19999999999999</v>
      </c>
      <c r="I15" s="130">
        <f t="shared" ref="I15:I78" si="2">G15/H15</f>
        <v>1804.9075215782984</v>
      </c>
      <c r="J15" s="130"/>
      <c r="K15" s="130"/>
      <c r="L15" s="130">
        <v>9077</v>
      </c>
      <c r="M15" s="130">
        <v>6409</v>
      </c>
      <c r="N15" s="130">
        <f t="shared" ref="N15:N78" si="3">($L$13*L15+$M$13*M15)/100</f>
        <v>8147.223472417566</v>
      </c>
      <c r="O15" s="132">
        <f t="shared" si="0"/>
        <v>102.17877757185086</v>
      </c>
      <c r="P15" s="130">
        <v>90070</v>
      </c>
      <c r="Q15" s="130">
        <v>15640</v>
      </c>
      <c r="R15" s="130">
        <f t="shared" ref="R15:R78" si="4">AVERAGE(P15:Q15)</f>
        <v>52855</v>
      </c>
      <c r="S15" s="133">
        <f t="shared" si="1"/>
        <v>62.207967986818105</v>
      </c>
      <c r="T15" s="130"/>
      <c r="U15" s="130"/>
      <c r="V15" s="130"/>
      <c r="W15" s="116">
        <v>37299</v>
      </c>
      <c r="X15" s="134">
        <v>2.2000000000000002</v>
      </c>
      <c r="Y15" s="135">
        <f>2.2*11/28+2.1*7/28</f>
        <v>1.3892857142857145</v>
      </c>
      <c r="Z15" s="136"/>
    </row>
    <row r="16" spans="2:26" ht="12" hidden="1" customHeight="1">
      <c r="B16" s="103" t="s">
        <v>183</v>
      </c>
      <c r="C16" s="270" t="s">
        <v>183</v>
      </c>
      <c r="D16" s="128">
        <v>100.95</v>
      </c>
      <c r="E16" s="129">
        <v>100.11</v>
      </c>
      <c r="F16" s="129">
        <v>100.67</v>
      </c>
      <c r="G16" s="130">
        <v>297490</v>
      </c>
      <c r="H16" s="131">
        <v>162.9</v>
      </c>
      <c r="I16" s="130">
        <f t="shared" si="2"/>
        <v>1826.2124002455494</v>
      </c>
      <c r="J16" s="130"/>
      <c r="K16" s="130"/>
      <c r="L16" s="130">
        <v>9084</v>
      </c>
      <c r="M16" s="130">
        <v>6543</v>
      </c>
      <c r="N16" s="130">
        <f t="shared" si="3"/>
        <v>8198.4819503047365</v>
      </c>
      <c r="O16" s="132">
        <f t="shared" si="0"/>
        <v>102.82163812777354</v>
      </c>
      <c r="P16" s="130">
        <v>85450</v>
      </c>
      <c r="Q16" s="130">
        <v>16960</v>
      </c>
      <c r="R16" s="130">
        <f t="shared" si="4"/>
        <v>51205</v>
      </c>
      <c r="S16" s="133">
        <f t="shared" si="1"/>
        <v>60.265991879009007</v>
      </c>
      <c r="T16" s="130"/>
      <c r="U16" s="130"/>
      <c r="V16" s="130"/>
      <c r="W16" s="116"/>
      <c r="X16" s="134">
        <v>2.1</v>
      </c>
      <c r="Y16" s="135">
        <v>2.1</v>
      </c>
      <c r="Z16" s="136"/>
    </row>
    <row r="17" spans="2:26" ht="12" hidden="1" customHeight="1">
      <c r="B17" s="103" t="s">
        <v>184</v>
      </c>
      <c r="C17" s="270" t="s">
        <v>184</v>
      </c>
      <c r="D17" s="128">
        <v>100.75</v>
      </c>
      <c r="E17" s="129">
        <v>100.21</v>
      </c>
      <c r="F17" s="129">
        <v>100.28</v>
      </c>
      <c r="G17" s="130">
        <v>299114</v>
      </c>
      <c r="H17" s="131">
        <v>168.2</v>
      </c>
      <c r="I17" s="130">
        <f t="shared" si="2"/>
        <v>1778.3234244946493</v>
      </c>
      <c r="J17" s="130"/>
      <c r="K17" s="130"/>
      <c r="L17" s="130">
        <v>8662</v>
      </c>
      <c r="M17" s="130">
        <v>6566</v>
      </c>
      <c r="N17" s="130">
        <f t="shared" si="3"/>
        <v>7931.5608688857637</v>
      </c>
      <c r="O17" s="132">
        <f t="shared" si="0"/>
        <v>99.474035119229328</v>
      </c>
      <c r="P17" s="130">
        <v>86170</v>
      </c>
      <c r="Q17" s="130">
        <v>18230</v>
      </c>
      <c r="R17" s="130">
        <f t="shared" si="4"/>
        <v>52200</v>
      </c>
      <c r="S17" s="133">
        <f t="shared" si="1"/>
        <v>61.437062319778732</v>
      </c>
      <c r="T17" s="130"/>
      <c r="U17" s="130"/>
      <c r="V17" s="130"/>
      <c r="W17" s="116">
        <v>37373</v>
      </c>
      <c r="X17" s="134">
        <v>2</v>
      </c>
      <c r="Y17" s="135">
        <f>2.1*26/30+2*4/30</f>
        <v>2.0866666666666669</v>
      </c>
      <c r="Z17" s="136"/>
    </row>
    <row r="18" spans="2:26" ht="12" hidden="1" customHeight="1">
      <c r="B18" s="103" t="s">
        <v>185</v>
      </c>
      <c r="C18" s="270" t="s">
        <v>185</v>
      </c>
      <c r="D18" s="128">
        <v>100.75</v>
      </c>
      <c r="E18" s="129">
        <v>100.21</v>
      </c>
      <c r="F18" s="129">
        <v>100.18</v>
      </c>
      <c r="G18" s="130">
        <v>294175</v>
      </c>
      <c r="H18" s="131">
        <v>150.69999999999999</v>
      </c>
      <c r="I18" s="130">
        <f t="shared" si="2"/>
        <v>1952.0570670205709</v>
      </c>
      <c r="J18" s="130"/>
      <c r="K18" s="130"/>
      <c r="L18" s="130">
        <v>8652</v>
      </c>
      <c r="M18" s="130">
        <v>6645</v>
      </c>
      <c r="N18" s="130">
        <f t="shared" si="3"/>
        <v>7952.5766526019697</v>
      </c>
      <c r="O18" s="132">
        <f t="shared" si="0"/>
        <v>99.737605536452605</v>
      </c>
      <c r="P18" s="130">
        <v>85700</v>
      </c>
      <c r="Q18" s="130">
        <v>16590</v>
      </c>
      <c r="R18" s="130">
        <f t="shared" si="4"/>
        <v>51145</v>
      </c>
      <c r="S18" s="133">
        <f t="shared" si="1"/>
        <v>60.19537456599776</v>
      </c>
      <c r="T18" s="130"/>
      <c r="U18" s="130"/>
      <c r="V18" s="130"/>
      <c r="W18" s="116">
        <v>37401</v>
      </c>
      <c r="X18" s="134">
        <v>1.7</v>
      </c>
      <c r="Y18" s="135">
        <f>2*24/31+1.7*7/31</f>
        <v>1.9322580645161289</v>
      </c>
      <c r="Z18" s="136"/>
    </row>
    <row r="19" spans="2:26" ht="12" hidden="1" customHeight="1">
      <c r="B19" s="103" t="s">
        <v>186</v>
      </c>
      <c r="C19" s="270" t="s">
        <v>186</v>
      </c>
      <c r="D19" s="128">
        <v>100.75</v>
      </c>
      <c r="E19" s="129">
        <v>100.11</v>
      </c>
      <c r="F19" s="129">
        <v>100.08</v>
      </c>
      <c r="G19" s="130">
        <v>470876</v>
      </c>
      <c r="H19" s="131">
        <v>167.9</v>
      </c>
      <c r="I19" s="130">
        <f t="shared" si="2"/>
        <v>2804.5026801667659</v>
      </c>
      <c r="J19" s="130"/>
      <c r="K19" s="130"/>
      <c r="L19" s="130">
        <v>8742</v>
      </c>
      <c r="M19" s="130">
        <v>6719</v>
      </c>
      <c r="N19" s="130">
        <f t="shared" si="3"/>
        <v>8037.0007813720904</v>
      </c>
      <c r="O19" s="132">
        <f t="shared" si="0"/>
        <v>100.79641462699786</v>
      </c>
      <c r="P19" s="130">
        <v>87040</v>
      </c>
      <c r="Q19" s="130">
        <v>17770</v>
      </c>
      <c r="R19" s="130">
        <f t="shared" si="4"/>
        <v>52405</v>
      </c>
      <c r="S19" s="133">
        <f t="shared" si="1"/>
        <v>61.678338139233801</v>
      </c>
      <c r="T19" s="130"/>
      <c r="U19" s="130"/>
      <c r="V19" s="130"/>
      <c r="W19" s="116">
        <v>37423</v>
      </c>
      <c r="X19" s="134">
        <v>1.6</v>
      </c>
      <c r="Y19" s="135">
        <f>1.7*15/30+1.6*15/30</f>
        <v>1.65</v>
      </c>
      <c r="Z19" s="136"/>
    </row>
    <row r="20" spans="2:26" ht="12" hidden="1" customHeight="1">
      <c r="B20" s="103" t="s">
        <v>187</v>
      </c>
      <c r="C20" s="270" t="s">
        <v>187</v>
      </c>
      <c r="D20" s="128">
        <v>100.75</v>
      </c>
      <c r="E20" s="129">
        <v>100.11</v>
      </c>
      <c r="F20" s="129">
        <v>100.08</v>
      </c>
      <c r="G20" s="130">
        <v>505337</v>
      </c>
      <c r="H20" s="131">
        <v>167.5</v>
      </c>
      <c r="I20" s="130">
        <f t="shared" si="2"/>
        <v>3016.9373134328357</v>
      </c>
      <c r="J20" s="130"/>
      <c r="K20" s="130"/>
      <c r="L20" s="130">
        <v>8384</v>
      </c>
      <c r="M20" s="130">
        <v>6584</v>
      </c>
      <c r="N20" s="130">
        <f t="shared" si="3"/>
        <v>7756.7144866385379</v>
      </c>
      <c r="O20" s="132">
        <f t="shared" si="0"/>
        <v>97.281191181492005</v>
      </c>
      <c r="P20" s="130">
        <v>88420</v>
      </c>
      <c r="Q20" s="130">
        <v>17300</v>
      </c>
      <c r="R20" s="130">
        <f t="shared" si="4"/>
        <v>52860</v>
      </c>
      <c r="S20" s="133">
        <f t="shared" si="1"/>
        <v>62.213852762902363</v>
      </c>
      <c r="T20" s="130"/>
      <c r="U20" s="130"/>
      <c r="V20" s="130"/>
      <c r="W20" s="116"/>
      <c r="X20" s="134">
        <v>1.6</v>
      </c>
      <c r="Y20" s="135">
        <v>1.6</v>
      </c>
      <c r="Z20" s="136"/>
    </row>
    <row r="21" spans="2:26" ht="12" hidden="1" customHeight="1">
      <c r="B21" s="103" t="s">
        <v>188</v>
      </c>
      <c r="C21" s="270" t="s">
        <v>188</v>
      </c>
      <c r="D21" s="128">
        <v>100.65</v>
      </c>
      <c r="E21" s="129">
        <v>100.11</v>
      </c>
      <c r="F21" s="129">
        <v>100.08</v>
      </c>
      <c r="G21" s="130">
        <v>324977</v>
      </c>
      <c r="H21" s="131">
        <v>154.1</v>
      </c>
      <c r="I21" s="130">
        <f t="shared" si="2"/>
        <v>2108.8708630759247</v>
      </c>
      <c r="J21" s="130"/>
      <c r="K21" s="130"/>
      <c r="L21" s="130">
        <v>8371</v>
      </c>
      <c r="M21" s="130">
        <v>6426</v>
      </c>
      <c r="N21" s="130">
        <f t="shared" si="3"/>
        <v>7693.1831536177542</v>
      </c>
      <c r="O21" s="132">
        <f t="shared" si="0"/>
        <v>96.484410048931807</v>
      </c>
      <c r="P21" s="130">
        <v>88260</v>
      </c>
      <c r="Q21" s="130">
        <v>14150</v>
      </c>
      <c r="R21" s="130">
        <f t="shared" si="4"/>
        <v>51205</v>
      </c>
      <c r="S21" s="133">
        <f t="shared" si="1"/>
        <v>60.265991879009007</v>
      </c>
      <c r="T21" s="130"/>
      <c r="U21" s="130"/>
      <c r="V21" s="130"/>
      <c r="W21" s="116">
        <v>37471</v>
      </c>
      <c r="X21" s="134">
        <v>2</v>
      </c>
      <c r="Y21" s="135">
        <f>1.6*2/31+2*29/31</f>
        <v>1.9741935483870967</v>
      </c>
      <c r="Z21" s="136"/>
    </row>
    <row r="22" spans="2:26" ht="12" hidden="1" customHeight="1">
      <c r="B22" s="103" t="s">
        <v>189</v>
      </c>
      <c r="C22" s="270" t="s">
        <v>189</v>
      </c>
      <c r="D22" s="128">
        <v>100.54</v>
      </c>
      <c r="E22" s="129">
        <v>100.11</v>
      </c>
      <c r="F22" s="129">
        <v>100.08</v>
      </c>
      <c r="G22" s="130">
        <v>295974</v>
      </c>
      <c r="H22" s="131">
        <v>163.69999999999999</v>
      </c>
      <c r="I22" s="130">
        <f t="shared" si="2"/>
        <v>1808.0268784361638</v>
      </c>
      <c r="J22" s="130"/>
      <c r="K22" s="130"/>
      <c r="L22" s="130">
        <v>8678</v>
      </c>
      <c r="M22" s="130">
        <v>6492</v>
      </c>
      <c r="N22" s="130">
        <f t="shared" si="3"/>
        <v>7916.1965932176918</v>
      </c>
      <c r="O22" s="132">
        <f t="shared" si="0"/>
        <v>99.281343349897682</v>
      </c>
      <c r="P22" s="130">
        <v>90100</v>
      </c>
      <c r="Q22" s="130">
        <v>14720</v>
      </c>
      <c r="R22" s="130">
        <f t="shared" si="4"/>
        <v>52410</v>
      </c>
      <c r="S22" s="133">
        <f t="shared" si="1"/>
        <v>61.684222915318074</v>
      </c>
      <c r="T22" s="130"/>
      <c r="U22" s="130"/>
      <c r="V22" s="130"/>
      <c r="W22" s="116">
        <v>37527</v>
      </c>
      <c r="X22" s="134">
        <v>2.1</v>
      </c>
      <c r="Y22" s="135">
        <f>2*27/30+2.1*3/30</f>
        <v>2.0100000000000002</v>
      </c>
      <c r="Z22" s="136"/>
    </row>
    <row r="23" spans="2:26" ht="12" hidden="1" customHeight="1">
      <c r="B23" s="103" t="s">
        <v>190</v>
      </c>
      <c r="C23" s="270" t="s">
        <v>190</v>
      </c>
      <c r="D23" s="128">
        <v>100.54</v>
      </c>
      <c r="E23" s="129">
        <v>100.11</v>
      </c>
      <c r="F23" s="129">
        <v>99.79</v>
      </c>
      <c r="G23" s="130">
        <v>296383</v>
      </c>
      <c r="H23" s="131">
        <v>164.2</v>
      </c>
      <c r="I23" s="130">
        <f t="shared" si="2"/>
        <v>1805.012180267966</v>
      </c>
      <c r="J23" s="130"/>
      <c r="K23" s="130"/>
      <c r="L23" s="130">
        <v>8751</v>
      </c>
      <c r="M23" s="130">
        <v>6407</v>
      </c>
      <c r="N23" s="130">
        <f t="shared" si="3"/>
        <v>7934.1348648226294</v>
      </c>
      <c r="O23" s="132">
        <f t="shared" si="0"/>
        <v>99.506317007555367</v>
      </c>
      <c r="P23" s="130">
        <v>94790</v>
      </c>
      <c r="Q23" s="130">
        <v>14890</v>
      </c>
      <c r="R23" s="130">
        <f t="shared" si="4"/>
        <v>54840</v>
      </c>
      <c r="S23" s="133">
        <f t="shared" si="1"/>
        <v>64.544224092273282</v>
      </c>
      <c r="T23" s="130"/>
      <c r="U23" s="130"/>
      <c r="V23" s="130"/>
      <c r="W23" s="116">
        <v>37549</v>
      </c>
      <c r="X23" s="134">
        <v>1.9</v>
      </c>
      <c r="Y23" s="135">
        <f>2.1*19/31+1.9*12/31</f>
        <v>2.0225806451612902</v>
      </c>
      <c r="Z23" s="136"/>
    </row>
    <row r="24" spans="2:26" ht="12" hidden="1" customHeight="1">
      <c r="B24" s="103" t="s">
        <v>191</v>
      </c>
      <c r="C24" s="270" t="s">
        <v>191</v>
      </c>
      <c r="D24" s="128">
        <v>100.54</v>
      </c>
      <c r="E24" s="129">
        <v>100.11</v>
      </c>
      <c r="F24" s="129">
        <v>99.89</v>
      </c>
      <c r="G24" s="130">
        <v>313989</v>
      </c>
      <c r="H24" s="131">
        <v>168.6</v>
      </c>
      <c r="I24" s="130">
        <f t="shared" si="2"/>
        <v>1862.3309608540926</v>
      </c>
      <c r="J24" s="130"/>
      <c r="K24" s="130"/>
      <c r="L24" s="130">
        <v>8493</v>
      </c>
      <c r="M24" s="130">
        <v>6429</v>
      </c>
      <c r="N24" s="130">
        <f t="shared" si="3"/>
        <v>7773.7126113455233</v>
      </c>
      <c r="O24" s="132">
        <f t="shared" si="0"/>
        <v>97.494373943626087</v>
      </c>
      <c r="P24" s="130">
        <v>94020</v>
      </c>
      <c r="Q24" s="130">
        <v>16940</v>
      </c>
      <c r="R24" s="130">
        <f t="shared" si="4"/>
        <v>55480</v>
      </c>
      <c r="S24" s="133">
        <f t="shared" si="1"/>
        <v>65.297475431059851</v>
      </c>
      <c r="T24" s="130"/>
      <c r="U24" s="130"/>
      <c r="V24" s="130"/>
      <c r="W24" s="116">
        <v>37589</v>
      </c>
      <c r="X24" s="134">
        <v>2</v>
      </c>
      <c r="Y24" s="135">
        <f>1.9*28/30+2*2/30</f>
        <v>1.9066666666666665</v>
      </c>
      <c r="Z24" s="136"/>
    </row>
    <row r="25" spans="2:26" ht="12" hidden="1" customHeight="1">
      <c r="B25" s="105" t="s">
        <v>192</v>
      </c>
      <c r="C25" s="271" t="s">
        <v>192</v>
      </c>
      <c r="D25" s="128">
        <v>100.44</v>
      </c>
      <c r="E25" s="129">
        <v>100.11</v>
      </c>
      <c r="F25" s="129">
        <v>99.89</v>
      </c>
      <c r="G25" s="130">
        <v>703063</v>
      </c>
      <c r="H25" s="131">
        <v>165.6</v>
      </c>
      <c r="I25" s="130">
        <f t="shared" si="2"/>
        <v>4245.5495169082124</v>
      </c>
      <c r="J25" s="130">
        <f>AVERAGE(I14:I25)</f>
        <v>2265.0469145261</v>
      </c>
      <c r="K25" s="133">
        <f t="shared" ref="K25:K84" si="5">J25/$J$85*100</f>
        <v>99.110018245035207</v>
      </c>
      <c r="L25" s="130">
        <v>8774</v>
      </c>
      <c r="M25" s="130">
        <v>6419</v>
      </c>
      <c r="N25" s="130">
        <f t="shared" si="3"/>
        <v>7953.3014533520882</v>
      </c>
      <c r="O25" s="132">
        <f t="shared" si="0"/>
        <v>99.746695658367273</v>
      </c>
      <c r="P25" s="130">
        <v>96030</v>
      </c>
      <c r="Q25" s="130">
        <v>19010</v>
      </c>
      <c r="R25" s="130">
        <f t="shared" si="4"/>
        <v>57520</v>
      </c>
      <c r="S25" s="133">
        <f t="shared" si="1"/>
        <v>67.698464073442011</v>
      </c>
      <c r="T25" s="131">
        <v>100</v>
      </c>
      <c r="U25" s="133">
        <v>100</v>
      </c>
      <c r="V25" s="133">
        <v>100</v>
      </c>
      <c r="W25" s="116"/>
      <c r="X25" s="134">
        <v>2</v>
      </c>
      <c r="Y25" s="135">
        <v>2</v>
      </c>
      <c r="Z25" s="137">
        <v>100</v>
      </c>
    </row>
    <row r="26" spans="2:26" ht="12" hidden="1" customHeight="1">
      <c r="B26" s="104" t="s">
        <v>258</v>
      </c>
      <c r="C26" s="272" t="s">
        <v>259</v>
      </c>
      <c r="D26" s="138">
        <v>100.13</v>
      </c>
      <c r="E26" s="139">
        <v>100.21</v>
      </c>
      <c r="F26" s="139">
        <v>99.69</v>
      </c>
      <c r="G26" s="140">
        <v>313450</v>
      </c>
      <c r="H26" s="141">
        <v>144.4</v>
      </c>
      <c r="I26" s="140">
        <f t="shared" si="2"/>
        <v>2170.7063711911355</v>
      </c>
      <c r="J26" s="140">
        <f t="shared" ref="J26:J89" si="6">AVERAGE(I15:I26)</f>
        <v>2265.2864314726808</v>
      </c>
      <c r="K26" s="142">
        <f t="shared" si="5"/>
        <v>99.120498614688202</v>
      </c>
      <c r="L26" s="140">
        <v>8812</v>
      </c>
      <c r="M26" s="140">
        <v>6414</v>
      </c>
      <c r="N26" s="140">
        <f t="shared" si="3"/>
        <v>7976.3162994217846</v>
      </c>
      <c r="O26" s="143">
        <f t="shared" si="0"/>
        <v>100.03533740796054</v>
      </c>
      <c r="P26" s="140">
        <v>96930</v>
      </c>
      <c r="Q26" s="140">
        <v>20240</v>
      </c>
      <c r="R26" s="140">
        <f t="shared" si="4"/>
        <v>58585</v>
      </c>
      <c r="S26" s="142">
        <f t="shared" si="1"/>
        <v>68.951921379391507</v>
      </c>
      <c r="T26" s="141">
        <v>99.84</v>
      </c>
      <c r="U26" s="142">
        <v>100.01057448060102</v>
      </c>
      <c r="V26" s="142">
        <v>99.971854073504588</v>
      </c>
      <c r="W26" s="144">
        <v>37263</v>
      </c>
      <c r="X26" s="145">
        <v>2.1</v>
      </c>
      <c r="Y26" s="146">
        <f>2*7/31+2.1*24/31</f>
        <v>2.0774193548387099</v>
      </c>
      <c r="Z26" s="147">
        <f t="shared" ref="Z26:Z85" si="7">Y26/$X$19*100</f>
        <v>129.83870967741936</v>
      </c>
    </row>
    <row r="27" spans="2:26" ht="12" hidden="1" customHeight="1">
      <c r="B27" s="103" t="s">
        <v>198</v>
      </c>
      <c r="C27" s="270" t="s">
        <v>198</v>
      </c>
      <c r="D27" s="128">
        <v>100.13</v>
      </c>
      <c r="E27" s="129">
        <v>100.21</v>
      </c>
      <c r="F27" s="129">
        <v>99.69</v>
      </c>
      <c r="G27" s="130">
        <v>296169</v>
      </c>
      <c r="H27" s="131">
        <v>164.3</v>
      </c>
      <c r="I27" s="130">
        <f t="shared" si="2"/>
        <v>1802.6110772976263</v>
      </c>
      <c r="J27" s="130">
        <f>AVERAGE(I16:I27)</f>
        <v>2265.0950611159574</v>
      </c>
      <c r="K27" s="133">
        <f t="shared" si="5"/>
        <v>99.112124960515843</v>
      </c>
      <c r="L27" s="130">
        <v>8910</v>
      </c>
      <c r="M27" s="130">
        <v>6390</v>
      </c>
      <c r="N27" s="130">
        <f t="shared" si="3"/>
        <v>8031.800281293953</v>
      </c>
      <c r="O27" s="132">
        <f t="shared" si="0"/>
        <v>100.73119231628731</v>
      </c>
      <c r="P27" s="130">
        <v>100500</v>
      </c>
      <c r="Q27" s="130">
        <v>25310</v>
      </c>
      <c r="R27" s="130">
        <f t="shared" si="4"/>
        <v>62905</v>
      </c>
      <c r="S27" s="133">
        <f t="shared" si="1"/>
        <v>74.036367916200788</v>
      </c>
      <c r="T27" s="131">
        <v>100.7</v>
      </c>
      <c r="U27" s="133">
        <v>100.00212563322854</v>
      </c>
      <c r="V27" s="133">
        <v>100.16054311448565</v>
      </c>
      <c r="W27" s="116">
        <v>37289</v>
      </c>
      <c r="X27" s="134">
        <v>2</v>
      </c>
      <c r="Y27" s="135">
        <f>2.1*1/29+2*19/29+1.9*9/29</f>
        <v>1.9724137931034482</v>
      </c>
      <c r="Z27" s="137">
        <f t="shared" si="7"/>
        <v>123.27586206896551</v>
      </c>
    </row>
    <row r="28" spans="2:26" ht="12" hidden="1" customHeight="1">
      <c r="B28" s="103" t="s">
        <v>199</v>
      </c>
      <c r="C28" s="270" t="s">
        <v>199</v>
      </c>
      <c r="D28" s="128">
        <v>100.13</v>
      </c>
      <c r="E28" s="129">
        <v>100.21</v>
      </c>
      <c r="F28" s="129">
        <v>99.79</v>
      </c>
      <c r="G28" s="130">
        <v>301329</v>
      </c>
      <c r="H28" s="131">
        <v>167.5</v>
      </c>
      <c r="I28" s="130">
        <f t="shared" si="2"/>
        <v>1798.9791044776118</v>
      </c>
      <c r="J28" s="130">
        <f t="shared" si="6"/>
        <v>2262.8256198019631</v>
      </c>
      <c r="K28" s="133">
        <f t="shared" si="5"/>
        <v>99.012822659714246</v>
      </c>
      <c r="L28" s="130">
        <v>8962</v>
      </c>
      <c r="M28" s="130">
        <v>6521</v>
      </c>
      <c r="N28" s="130">
        <f t="shared" si="3"/>
        <v>8111.3311454914838</v>
      </c>
      <c r="O28" s="132">
        <f t="shared" si="0"/>
        <v>101.72863230433333</v>
      </c>
      <c r="P28" s="130">
        <v>98780</v>
      </c>
      <c r="Q28" s="130">
        <v>32200</v>
      </c>
      <c r="R28" s="130">
        <f t="shared" si="4"/>
        <v>65490</v>
      </c>
      <c r="S28" s="133">
        <f t="shared" si="1"/>
        <v>77.07879715176837</v>
      </c>
      <c r="T28" s="131">
        <v>100.7</v>
      </c>
      <c r="U28" s="133">
        <v>99.90193162402548</v>
      </c>
      <c r="V28" s="133">
        <v>100.08309314537169</v>
      </c>
      <c r="W28" s="116">
        <v>37342</v>
      </c>
      <c r="X28" s="134">
        <v>2</v>
      </c>
      <c r="Y28" s="135">
        <f>1.9*26/31+2*5/31</f>
        <v>1.9161290322580644</v>
      </c>
      <c r="Z28" s="137">
        <f t="shared" si="7"/>
        <v>119.75806451612902</v>
      </c>
    </row>
    <row r="29" spans="2:26" ht="12" hidden="1" customHeight="1">
      <c r="B29" s="103" t="s">
        <v>200</v>
      </c>
      <c r="C29" s="270" t="s">
        <v>200</v>
      </c>
      <c r="D29" s="128">
        <v>100.13</v>
      </c>
      <c r="E29" s="129">
        <v>100.02</v>
      </c>
      <c r="F29" s="129">
        <v>100.08</v>
      </c>
      <c r="G29" s="130">
        <v>302973</v>
      </c>
      <c r="H29" s="131">
        <v>172.1</v>
      </c>
      <c r="I29" s="130">
        <f t="shared" si="2"/>
        <v>1760.4474142940151</v>
      </c>
      <c r="J29" s="130">
        <f t="shared" si="6"/>
        <v>2261.3359522852434</v>
      </c>
      <c r="K29" s="133">
        <f t="shared" si="5"/>
        <v>98.947640356507065</v>
      </c>
      <c r="L29" s="130">
        <v>8598</v>
      </c>
      <c r="M29" s="130">
        <v>6548</v>
      </c>
      <c r="N29" s="130">
        <f t="shared" si="3"/>
        <v>7883.5914986716689</v>
      </c>
      <c r="O29" s="132">
        <f t="shared" si="0"/>
        <v>98.872425058334159</v>
      </c>
      <c r="P29" s="130">
        <v>108800</v>
      </c>
      <c r="Q29" s="130">
        <v>39730</v>
      </c>
      <c r="R29" s="130">
        <f t="shared" si="4"/>
        <v>74265</v>
      </c>
      <c r="S29" s="133">
        <f t="shared" si="1"/>
        <v>87.406579179662216</v>
      </c>
      <c r="T29" s="131">
        <v>100.51</v>
      </c>
      <c r="U29" s="133">
        <v>99.836164000972445</v>
      </c>
      <c r="V29" s="133">
        <v>99.989124772751708</v>
      </c>
      <c r="W29" s="116">
        <v>37367</v>
      </c>
      <c r="X29" s="134">
        <v>2.1</v>
      </c>
      <c r="Y29" s="135">
        <f>2*20/30+2.1*10/30</f>
        <v>2.0333333333333332</v>
      </c>
      <c r="Z29" s="137">
        <f t="shared" si="7"/>
        <v>127.08333333333333</v>
      </c>
    </row>
    <row r="30" spans="2:26" ht="12" hidden="1" customHeight="1">
      <c r="B30" s="103" t="s">
        <v>201</v>
      </c>
      <c r="C30" s="270" t="s">
        <v>201</v>
      </c>
      <c r="D30" s="128">
        <v>100.13</v>
      </c>
      <c r="E30" s="129">
        <v>100.02</v>
      </c>
      <c r="F30" s="129">
        <v>100.18</v>
      </c>
      <c r="G30" s="130">
        <v>298381</v>
      </c>
      <c r="H30" s="131">
        <v>151.69999999999999</v>
      </c>
      <c r="I30" s="130">
        <f t="shared" si="2"/>
        <v>1966.9149637442322</v>
      </c>
      <c r="J30" s="130">
        <f t="shared" si="6"/>
        <v>2262.5741103455484</v>
      </c>
      <c r="K30" s="133">
        <f t="shared" si="5"/>
        <v>99.001817542489434</v>
      </c>
      <c r="L30" s="130">
        <v>8605</v>
      </c>
      <c r="M30" s="130">
        <v>6637</v>
      </c>
      <c r="N30" s="130">
        <f t="shared" si="3"/>
        <v>7919.167838724803</v>
      </c>
      <c r="O30" s="132">
        <f t="shared" si="0"/>
        <v>99.318607361963913</v>
      </c>
      <c r="P30" s="130">
        <v>112100</v>
      </c>
      <c r="Q30" s="130">
        <v>40710</v>
      </c>
      <c r="R30" s="130">
        <f t="shared" si="4"/>
        <v>76405</v>
      </c>
      <c r="S30" s="133">
        <f t="shared" si="1"/>
        <v>89.925263343729767</v>
      </c>
      <c r="T30" s="131">
        <v>100.61</v>
      </c>
      <c r="U30" s="133">
        <v>99.890827683758204</v>
      </c>
      <c r="V30" s="133">
        <v>100.05407979954509</v>
      </c>
      <c r="W30" s="116">
        <v>37401</v>
      </c>
      <c r="X30" s="134">
        <v>2</v>
      </c>
      <c r="Y30" s="135">
        <f>2.1*24/31+2*7/31</f>
        <v>2.0774193548387099</v>
      </c>
      <c r="Z30" s="137">
        <f t="shared" si="7"/>
        <v>129.83870967741936</v>
      </c>
    </row>
    <row r="31" spans="2:26" ht="12" hidden="1" customHeight="1">
      <c r="B31" s="103" t="s">
        <v>202</v>
      </c>
      <c r="C31" s="270" t="s">
        <v>202</v>
      </c>
      <c r="D31" s="128">
        <v>100.13</v>
      </c>
      <c r="E31" s="129">
        <v>100.02</v>
      </c>
      <c r="F31" s="129">
        <v>100.18</v>
      </c>
      <c r="G31" s="130">
        <v>479010</v>
      </c>
      <c r="H31" s="131">
        <v>170.7</v>
      </c>
      <c r="I31" s="130">
        <f t="shared" si="2"/>
        <v>2806.1511423550091</v>
      </c>
      <c r="J31" s="130">
        <f t="shared" si="6"/>
        <v>2262.7114821945688</v>
      </c>
      <c r="K31" s="133">
        <f t="shared" si="5"/>
        <v>99.007828423047997</v>
      </c>
      <c r="L31" s="130">
        <v>8654</v>
      </c>
      <c r="M31" s="130">
        <v>6707</v>
      </c>
      <c r="N31" s="130">
        <f t="shared" si="3"/>
        <v>7975.4861697140186</v>
      </c>
      <c r="O31" s="132">
        <f t="shared" si="0"/>
        <v>100.0249262980833</v>
      </c>
      <c r="P31" s="130">
        <v>111800</v>
      </c>
      <c r="Q31" s="130">
        <v>46170</v>
      </c>
      <c r="R31" s="130">
        <f t="shared" si="4"/>
        <v>78985</v>
      </c>
      <c r="S31" s="133">
        <f t="shared" si="1"/>
        <v>92.961807803213091</v>
      </c>
      <c r="T31" s="131">
        <v>98.88</v>
      </c>
      <c r="U31" s="133">
        <v>99.896892540434663</v>
      </c>
      <c r="V31" s="133">
        <v>99.66605793375598</v>
      </c>
      <c r="W31" s="116">
        <v>37426</v>
      </c>
      <c r="X31" s="134">
        <v>1.9</v>
      </c>
      <c r="Y31" s="135">
        <f>2*18/30+1.9*12/30</f>
        <v>1.96</v>
      </c>
      <c r="Z31" s="137">
        <f t="shared" si="7"/>
        <v>122.49999999999999</v>
      </c>
    </row>
    <row r="32" spans="2:26" ht="12" hidden="1" customHeight="1">
      <c r="B32" s="103" t="s">
        <v>203</v>
      </c>
      <c r="C32" s="270" t="s">
        <v>203</v>
      </c>
      <c r="D32" s="128">
        <v>100.03</v>
      </c>
      <c r="E32" s="129">
        <v>100.02</v>
      </c>
      <c r="F32" s="129">
        <v>100.18</v>
      </c>
      <c r="G32" s="130">
        <v>511241</v>
      </c>
      <c r="H32" s="131">
        <v>168</v>
      </c>
      <c r="I32" s="130">
        <f t="shared" si="2"/>
        <v>3043.1011904761904</v>
      </c>
      <c r="J32" s="130">
        <f t="shared" si="6"/>
        <v>2264.8918052815152</v>
      </c>
      <c r="K32" s="133">
        <f t="shared" si="5"/>
        <v>99.10323124209846</v>
      </c>
      <c r="L32" s="130">
        <v>8341</v>
      </c>
      <c r="M32" s="130">
        <v>6589</v>
      </c>
      <c r="N32" s="130">
        <f t="shared" si="3"/>
        <v>7730.4421003281768</v>
      </c>
      <c r="O32" s="132">
        <f t="shared" si="0"/>
        <v>96.95169484127544</v>
      </c>
      <c r="P32" s="130">
        <v>112700</v>
      </c>
      <c r="Q32" s="130">
        <v>45620</v>
      </c>
      <c r="R32" s="130">
        <f t="shared" si="4"/>
        <v>79160</v>
      </c>
      <c r="S32" s="133">
        <f t="shared" si="1"/>
        <v>93.16777496616254</v>
      </c>
      <c r="T32" s="131">
        <v>100.7</v>
      </c>
      <c r="U32" s="133">
        <v>99.993152051571641</v>
      </c>
      <c r="V32" s="133">
        <v>100.15360653586487</v>
      </c>
      <c r="W32" s="116"/>
      <c r="X32" s="134">
        <v>1.9</v>
      </c>
      <c r="Y32" s="135">
        <v>1.9</v>
      </c>
      <c r="Z32" s="137">
        <f t="shared" si="7"/>
        <v>118.74999999999997</v>
      </c>
    </row>
    <row r="33" spans="2:26" ht="12" hidden="1" customHeight="1">
      <c r="B33" s="103" t="s">
        <v>204</v>
      </c>
      <c r="C33" s="270" t="s">
        <v>204</v>
      </c>
      <c r="D33" s="128">
        <v>99.92</v>
      </c>
      <c r="E33" s="129">
        <v>100.02</v>
      </c>
      <c r="F33" s="129">
        <v>100.18</v>
      </c>
      <c r="G33" s="130">
        <v>328441</v>
      </c>
      <c r="H33" s="131">
        <v>155.1</v>
      </c>
      <c r="I33" s="130">
        <f t="shared" si="2"/>
        <v>2117.6079948420374</v>
      </c>
      <c r="J33" s="130">
        <f t="shared" si="6"/>
        <v>2265.6198995953578</v>
      </c>
      <c r="K33" s="133">
        <f t="shared" si="5"/>
        <v>99.135089937945438</v>
      </c>
      <c r="L33" s="130">
        <v>8336</v>
      </c>
      <c r="M33" s="130">
        <v>6413</v>
      </c>
      <c r="N33" s="130">
        <f t="shared" si="3"/>
        <v>7665.8499765588376</v>
      </c>
      <c r="O33" s="132">
        <f t="shared" si="0"/>
        <v>96.141609752795304</v>
      </c>
      <c r="P33" s="130">
        <v>110600</v>
      </c>
      <c r="Q33" s="130">
        <v>35630</v>
      </c>
      <c r="R33" s="130">
        <f t="shared" si="4"/>
        <v>73115</v>
      </c>
      <c r="S33" s="133">
        <f t="shared" si="1"/>
        <v>86.053080680280118</v>
      </c>
      <c r="T33" s="131">
        <v>100.32</v>
      </c>
      <c r="U33" s="133">
        <v>100.02529683008254</v>
      </c>
      <c r="V33" s="133">
        <v>100.09219444965379</v>
      </c>
      <c r="W33" s="116"/>
      <c r="X33" s="134">
        <v>1.9</v>
      </c>
      <c r="Y33" s="135">
        <v>1.9</v>
      </c>
      <c r="Z33" s="137">
        <f t="shared" si="7"/>
        <v>118.74999999999997</v>
      </c>
    </row>
    <row r="34" spans="2:26" ht="12" hidden="1" customHeight="1">
      <c r="B34" s="103" t="s">
        <v>206</v>
      </c>
      <c r="C34" s="270" t="s">
        <v>206</v>
      </c>
      <c r="D34" s="128">
        <v>99.82</v>
      </c>
      <c r="E34" s="129">
        <v>99.92</v>
      </c>
      <c r="F34" s="129">
        <v>100.18</v>
      </c>
      <c r="G34" s="130">
        <v>299862</v>
      </c>
      <c r="H34" s="131">
        <v>166.3</v>
      </c>
      <c r="I34" s="130">
        <f t="shared" si="2"/>
        <v>1803.138905592303</v>
      </c>
      <c r="J34" s="130">
        <f t="shared" si="6"/>
        <v>2265.2125685250362</v>
      </c>
      <c r="K34" s="133">
        <f t="shared" si="5"/>
        <v>99.117266647155105</v>
      </c>
      <c r="L34" s="130">
        <v>8613</v>
      </c>
      <c r="M34" s="130">
        <v>6464</v>
      </c>
      <c r="N34" s="130">
        <f t="shared" si="3"/>
        <v>7864.0907954367894</v>
      </c>
      <c r="O34" s="132">
        <f t="shared" si="0"/>
        <v>98.62785609259052</v>
      </c>
      <c r="P34" s="130">
        <v>111800</v>
      </c>
      <c r="Q34" s="130">
        <v>26930</v>
      </c>
      <c r="R34" s="130">
        <f t="shared" si="4"/>
        <v>69365</v>
      </c>
      <c r="S34" s="133">
        <f t="shared" si="1"/>
        <v>81.639498617077621</v>
      </c>
      <c r="T34" s="131">
        <v>99.65</v>
      </c>
      <c r="U34" s="133">
        <v>100.00731349085416</v>
      </c>
      <c r="V34" s="133">
        <v>99.926203328430262</v>
      </c>
      <c r="W34" s="116">
        <v>37524</v>
      </c>
      <c r="X34" s="134">
        <v>2</v>
      </c>
      <c r="Y34" s="135">
        <f>1.9*24/30+2*6/30</f>
        <v>1.92</v>
      </c>
      <c r="Z34" s="137">
        <f t="shared" si="7"/>
        <v>120</v>
      </c>
    </row>
    <row r="35" spans="2:26" ht="12" hidden="1" customHeight="1">
      <c r="B35" s="103" t="s">
        <v>207</v>
      </c>
      <c r="C35" s="270" t="s">
        <v>207</v>
      </c>
      <c r="D35" s="128">
        <v>99.82</v>
      </c>
      <c r="E35" s="129">
        <v>99.92</v>
      </c>
      <c r="F35" s="129">
        <v>99.89</v>
      </c>
      <c r="G35" s="130">
        <v>299827</v>
      </c>
      <c r="H35" s="131">
        <v>167.6</v>
      </c>
      <c r="I35" s="130">
        <f t="shared" si="2"/>
        <v>1788.9439140811457</v>
      </c>
      <c r="J35" s="130">
        <f t="shared" si="6"/>
        <v>2263.8735463428006</v>
      </c>
      <c r="K35" s="133">
        <f t="shared" si="5"/>
        <v>99.058676022801691</v>
      </c>
      <c r="L35" s="130">
        <v>8739</v>
      </c>
      <c r="M35" s="130">
        <v>6408</v>
      </c>
      <c r="N35" s="130">
        <f t="shared" si="3"/>
        <v>7926.6652601969072</v>
      </c>
      <c r="O35" s="132">
        <f t="shared" si="0"/>
        <v>99.412636617888225</v>
      </c>
      <c r="P35" s="130">
        <v>114400</v>
      </c>
      <c r="Q35" s="130">
        <v>29610</v>
      </c>
      <c r="R35" s="130">
        <f t="shared" si="4"/>
        <v>72005</v>
      </c>
      <c r="S35" s="133">
        <f t="shared" si="1"/>
        <v>84.746660389572185</v>
      </c>
      <c r="T35" s="131">
        <v>99.27</v>
      </c>
      <c r="U35" s="133">
        <v>99.948196738187875</v>
      </c>
      <c r="V35" s="133">
        <v>99.794246078619224</v>
      </c>
      <c r="W35" s="116">
        <v>37555</v>
      </c>
      <c r="X35" s="134">
        <v>2.1</v>
      </c>
      <c r="Y35" s="135">
        <f>2*25/31+2.1*6/31</f>
        <v>2.0193548387096776</v>
      </c>
      <c r="Z35" s="137">
        <f t="shared" si="7"/>
        <v>126.20967741935485</v>
      </c>
    </row>
    <row r="36" spans="2:26" ht="12" hidden="1" customHeight="1">
      <c r="B36" s="103" t="s">
        <v>208</v>
      </c>
      <c r="C36" s="270" t="s">
        <v>208</v>
      </c>
      <c r="D36" s="128">
        <v>99.82</v>
      </c>
      <c r="E36" s="129">
        <v>99.73</v>
      </c>
      <c r="F36" s="129">
        <v>99.98</v>
      </c>
      <c r="G36" s="130">
        <v>313499</v>
      </c>
      <c r="H36" s="131">
        <v>169.9</v>
      </c>
      <c r="I36" s="130">
        <f t="shared" si="2"/>
        <v>1845.197174808711</v>
      </c>
      <c r="J36" s="130">
        <f t="shared" si="6"/>
        <v>2262.4457308390192</v>
      </c>
      <c r="K36" s="133">
        <f t="shared" si="5"/>
        <v>98.996200133351991</v>
      </c>
      <c r="L36" s="130">
        <v>8478</v>
      </c>
      <c r="M36" s="130">
        <v>6426</v>
      </c>
      <c r="N36" s="130">
        <f t="shared" si="3"/>
        <v>7762.8945147679324</v>
      </c>
      <c r="O36" s="132">
        <f t="shared" si="0"/>
        <v>97.358698288270034</v>
      </c>
      <c r="P36" s="130">
        <v>120700</v>
      </c>
      <c r="Q36" s="130">
        <v>35500</v>
      </c>
      <c r="R36" s="130">
        <f t="shared" si="4"/>
        <v>78100</v>
      </c>
      <c r="S36" s="133">
        <f t="shared" si="1"/>
        <v>91.920202436297288</v>
      </c>
      <c r="T36" s="131">
        <v>99.08</v>
      </c>
      <c r="U36" s="133">
        <v>99.885159831772185</v>
      </c>
      <c r="V36" s="133">
        <v>99.702388549959892</v>
      </c>
      <c r="W36" s="116"/>
      <c r="X36" s="134">
        <v>2.1</v>
      </c>
      <c r="Y36" s="135">
        <v>2.1</v>
      </c>
      <c r="Z36" s="137">
        <f t="shared" si="7"/>
        <v>131.25</v>
      </c>
    </row>
    <row r="37" spans="2:26" ht="12" hidden="1" customHeight="1">
      <c r="B37" s="105" t="s">
        <v>209</v>
      </c>
      <c r="C37" s="271" t="s">
        <v>209</v>
      </c>
      <c r="D37" s="148">
        <v>99.82</v>
      </c>
      <c r="E37" s="149">
        <v>99.73</v>
      </c>
      <c r="F37" s="149">
        <v>99.98</v>
      </c>
      <c r="G37" s="150">
        <v>713480</v>
      </c>
      <c r="H37" s="151">
        <v>168.8</v>
      </c>
      <c r="I37" s="150">
        <f t="shared" si="2"/>
        <v>4226.7772511848334</v>
      </c>
      <c r="J37" s="150">
        <f t="shared" si="6"/>
        <v>2260.8813753620711</v>
      </c>
      <c r="K37" s="152">
        <f t="shared" si="5"/>
        <v>98.927749763133292</v>
      </c>
      <c r="L37" s="150">
        <v>8772</v>
      </c>
      <c r="M37" s="150">
        <v>6427</v>
      </c>
      <c r="N37" s="150">
        <f t="shared" si="3"/>
        <v>7954.7863728707634</v>
      </c>
      <c r="O37" s="153">
        <f t="shared" si="0"/>
        <v>99.765318844747824</v>
      </c>
      <c r="P37" s="150">
        <v>124600</v>
      </c>
      <c r="Q37" s="150">
        <v>41910</v>
      </c>
      <c r="R37" s="150">
        <f t="shared" si="4"/>
        <v>83255</v>
      </c>
      <c r="S37" s="152">
        <f t="shared" si="1"/>
        <v>97.987406579179662</v>
      </c>
      <c r="T37" s="151">
        <v>99.74</v>
      </c>
      <c r="U37" s="152">
        <v>99.816094795330088</v>
      </c>
      <c r="V37" s="152">
        <v>99.798821276790164</v>
      </c>
      <c r="W37" s="154">
        <v>37608</v>
      </c>
      <c r="X37" s="155">
        <v>2</v>
      </c>
      <c r="Y37" s="156">
        <f>2.1*17/31+2*14/31</f>
        <v>2.0548387096774192</v>
      </c>
      <c r="Z37" s="157">
        <f t="shared" si="7"/>
        <v>128.42741935483869</v>
      </c>
    </row>
    <row r="38" spans="2:26" ht="12" hidden="1" customHeight="1">
      <c r="B38" s="104" t="s">
        <v>197</v>
      </c>
      <c r="C38" s="272" t="s">
        <v>196</v>
      </c>
      <c r="D38" s="128">
        <v>99.51</v>
      </c>
      <c r="E38" s="129">
        <v>99.73</v>
      </c>
      <c r="F38" s="129">
        <v>100.47</v>
      </c>
      <c r="G38" s="130">
        <v>314149</v>
      </c>
      <c r="H38" s="131">
        <v>146.1</v>
      </c>
      <c r="I38" s="130">
        <f t="shared" si="2"/>
        <v>2150.2327173169065</v>
      </c>
      <c r="J38" s="130">
        <f t="shared" si="6"/>
        <v>2259.1752375392189</v>
      </c>
      <c r="K38" s="133">
        <f t="shared" si="5"/>
        <v>98.853095525436487</v>
      </c>
      <c r="L38" s="130">
        <v>8830</v>
      </c>
      <c r="M38" s="130">
        <v>6428</v>
      </c>
      <c r="N38" s="130">
        <f t="shared" si="3"/>
        <v>7992.9223316143152</v>
      </c>
      <c r="O38" s="132">
        <f t="shared" si="0"/>
        <v>100.24360272380659</v>
      </c>
      <c r="P38" s="130">
        <v>130400</v>
      </c>
      <c r="Q38" s="130">
        <v>42460</v>
      </c>
      <c r="R38" s="130">
        <f t="shared" si="4"/>
        <v>86430</v>
      </c>
      <c r="S38" s="133">
        <f t="shared" si="1"/>
        <v>101.7242393926911</v>
      </c>
      <c r="T38" s="131">
        <v>100.22</v>
      </c>
      <c r="U38" s="133">
        <v>99.740770182320503</v>
      </c>
      <c r="V38" s="133">
        <v>99.849555350933741</v>
      </c>
      <c r="W38" s="116"/>
      <c r="X38" s="134">
        <v>2</v>
      </c>
      <c r="Y38" s="135">
        <v>2</v>
      </c>
      <c r="Z38" s="137">
        <f t="shared" si="7"/>
        <v>125</v>
      </c>
    </row>
    <row r="39" spans="2:26" ht="12" hidden="1" customHeight="1">
      <c r="B39" s="103" t="s">
        <v>198</v>
      </c>
      <c r="C39" s="270" t="s">
        <v>198</v>
      </c>
      <c r="D39" s="128">
        <v>99.61</v>
      </c>
      <c r="E39" s="129">
        <v>99.73</v>
      </c>
      <c r="F39" s="129">
        <v>100.57</v>
      </c>
      <c r="G39" s="130">
        <v>297461</v>
      </c>
      <c r="H39" s="131">
        <v>165.3</v>
      </c>
      <c r="I39" s="130">
        <f t="shared" si="2"/>
        <v>1799.5220810647306</v>
      </c>
      <c r="J39" s="130">
        <f t="shared" si="6"/>
        <v>2258.9178211864773</v>
      </c>
      <c r="K39" s="133">
        <f t="shared" si="5"/>
        <v>98.841831944424911</v>
      </c>
      <c r="L39" s="130">
        <v>8919</v>
      </c>
      <c r="M39" s="130">
        <v>6406</v>
      </c>
      <c r="N39" s="130">
        <f t="shared" si="3"/>
        <v>8043.2397249570258</v>
      </c>
      <c r="O39" s="132">
        <f t="shared" si="0"/>
        <v>100.87466062466895</v>
      </c>
      <c r="P39" s="130">
        <v>135500</v>
      </c>
      <c r="Q39" s="130">
        <v>47790</v>
      </c>
      <c r="R39" s="130">
        <f t="shared" si="4"/>
        <v>91645</v>
      </c>
      <c r="S39" s="133">
        <f t="shared" si="1"/>
        <v>107.86206084858472</v>
      </c>
      <c r="T39" s="131">
        <v>100.51</v>
      </c>
      <c r="U39" s="133">
        <v>99.729405457330017</v>
      </c>
      <c r="V39" s="133">
        <v>99.906600418516106</v>
      </c>
      <c r="W39" s="116">
        <v>37288</v>
      </c>
      <c r="X39" s="134">
        <v>1.8</v>
      </c>
      <c r="Y39" s="135">
        <v>1.8</v>
      </c>
      <c r="Z39" s="137">
        <f t="shared" si="7"/>
        <v>112.5</v>
      </c>
    </row>
    <row r="40" spans="2:26" ht="12" hidden="1" customHeight="1">
      <c r="B40" s="103" t="s">
        <v>199</v>
      </c>
      <c r="C40" s="270" t="s">
        <v>199</v>
      </c>
      <c r="D40" s="128">
        <v>99.3</v>
      </c>
      <c r="E40" s="129">
        <v>99.73</v>
      </c>
      <c r="F40" s="129">
        <v>100.57</v>
      </c>
      <c r="G40" s="130">
        <v>302494</v>
      </c>
      <c r="H40" s="131">
        <v>162.1</v>
      </c>
      <c r="I40" s="130">
        <f t="shared" si="2"/>
        <v>1866.0950030845158</v>
      </c>
      <c r="J40" s="130">
        <f t="shared" si="6"/>
        <v>2264.5108127370527</v>
      </c>
      <c r="K40" s="133">
        <f t="shared" si="5"/>
        <v>99.086560427118528</v>
      </c>
      <c r="L40" s="130">
        <v>8973</v>
      </c>
      <c r="M40" s="130">
        <v>6532</v>
      </c>
      <c r="N40" s="130">
        <f t="shared" si="3"/>
        <v>8122.3311454914838</v>
      </c>
      <c r="O40" s="132">
        <f t="shared" si="0"/>
        <v>101.86658930982063</v>
      </c>
      <c r="P40" s="130">
        <v>137700</v>
      </c>
      <c r="Q40" s="130">
        <v>53420</v>
      </c>
      <c r="R40" s="130">
        <f t="shared" si="4"/>
        <v>95560</v>
      </c>
      <c r="S40" s="133">
        <f t="shared" si="1"/>
        <v>112.46984052256812</v>
      </c>
      <c r="T40" s="131">
        <v>100.41</v>
      </c>
      <c r="U40" s="133">
        <v>99.976331537081677</v>
      </c>
      <c r="V40" s="133">
        <v>100.07477427816414</v>
      </c>
      <c r="W40" s="116">
        <v>37334</v>
      </c>
      <c r="X40" s="134">
        <v>1.6</v>
      </c>
      <c r="Y40" s="135">
        <f>1.7*18/31+1.6*13/31</f>
        <v>1.6580645161290324</v>
      </c>
      <c r="Z40" s="137">
        <f t="shared" si="7"/>
        <v>103.62903225806453</v>
      </c>
    </row>
    <row r="41" spans="2:26" ht="12" hidden="1" customHeight="1">
      <c r="B41" s="103" t="s">
        <v>200</v>
      </c>
      <c r="C41" s="270" t="s">
        <v>200</v>
      </c>
      <c r="D41" s="128">
        <v>99.2</v>
      </c>
      <c r="E41" s="129">
        <v>99.63</v>
      </c>
      <c r="F41" s="129">
        <v>100.67</v>
      </c>
      <c r="G41" s="130">
        <v>303184</v>
      </c>
      <c r="H41" s="131">
        <v>169.9</v>
      </c>
      <c r="I41" s="130">
        <f t="shared" si="2"/>
        <v>1784.4849911712772</v>
      </c>
      <c r="J41" s="130">
        <f t="shared" si="6"/>
        <v>2266.5139441434908</v>
      </c>
      <c r="K41" s="133">
        <f t="shared" si="5"/>
        <v>99.174209998068292</v>
      </c>
      <c r="L41" s="130">
        <v>8592</v>
      </c>
      <c r="M41" s="130">
        <v>6548</v>
      </c>
      <c r="N41" s="130">
        <f t="shared" si="3"/>
        <v>7879.6824503828739</v>
      </c>
      <c r="O41" s="132">
        <f t="shared" si="0"/>
        <v>98.823399549586213</v>
      </c>
      <c r="P41" s="130">
        <v>148200</v>
      </c>
      <c r="Q41" s="130">
        <v>55440</v>
      </c>
      <c r="R41" s="130">
        <f t="shared" si="4"/>
        <v>101820</v>
      </c>
      <c r="S41" s="133">
        <f t="shared" si="1"/>
        <v>119.83758018007416</v>
      </c>
      <c r="T41" s="131">
        <v>101.37</v>
      </c>
      <c r="U41" s="133">
        <v>100.06476817800032</v>
      </c>
      <c r="V41" s="133">
        <v>100.36105580159426</v>
      </c>
      <c r="W41" s="116">
        <v>37348</v>
      </c>
      <c r="X41" s="134">
        <v>1.3</v>
      </c>
      <c r="Y41" s="135">
        <f>1.6*1/30+1.3*29/30</f>
        <v>1.31</v>
      </c>
      <c r="Z41" s="137">
        <f t="shared" si="7"/>
        <v>81.875</v>
      </c>
    </row>
    <row r="42" spans="2:26" ht="12" hidden="1" customHeight="1">
      <c r="B42" s="103" t="s">
        <v>201</v>
      </c>
      <c r="C42" s="270" t="s">
        <v>201</v>
      </c>
      <c r="D42" s="128">
        <v>99.2</v>
      </c>
      <c r="E42" s="129">
        <v>99.63</v>
      </c>
      <c r="F42" s="129">
        <v>100.67</v>
      </c>
      <c r="G42" s="130">
        <v>297222</v>
      </c>
      <c r="H42" s="131">
        <v>152</v>
      </c>
      <c r="I42" s="130">
        <f t="shared" si="2"/>
        <v>1955.4078947368421</v>
      </c>
      <c r="J42" s="130">
        <f t="shared" si="6"/>
        <v>2265.5550217262085</v>
      </c>
      <c r="K42" s="133">
        <f t="shared" si="5"/>
        <v>99.132251123988055</v>
      </c>
      <c r="L42" s="130">
        <v>8597</v>
      </c>
      <c r="M42" s="130">
        <v>6642</v>
      </c>
      <c r="N42" s="130">
        <f t="shared" si="3"/>
        <v>7915.6982340990799</v>
      </c>
      <c r="O42" s="132">
        <f t="shared" si="0"/>
        <v>99.275093156110316</v>
      </c>
      <c r="P42" s="130">
        <v>143100</v>
      </c>
      <c r="Q42" s="130">
        <v>55320</v>
      </c>
      <c r="R42" s="130">
        <f t="shared" si="4"/>
        <v>99210</v>
      </c>
      <c r="S42" s="133">
        <f t="shared" si="1"/>
        <v>116.76572706408521</v>
      </c>
      <c r="T42" s="131">
        <v>101.56</v>
      </c>
      <c r="U42" s="133">
        <v>100.02243252432655</v>
      </c>
      <c r="V42" s="133">
        <v>100.37146034130441</v>
      </c>
      <c r="W42" s="116">
        <v>37394</v>
      </c>
      <c r="X42" s="134">
        <v>1.6</v>
      </c>
      <c r="Y42" s="135">
        <f>1.3*17/31+1.6*14/31</f>
        <v>1.435483870967742</v>
      </c>
      <c r="Z42" s="137">
        <f t="shared" si="7"/>
        <v>89.717741935483872</v>
      </c>
    </row>
    <row r="43" spans="2:26" ht="12" hidden="1" customHeight="1">
      <c r="B43" s="103" t="s">
        <v>202</v>
      </c>
      <c r="C43" s="270" t="s">
        <v>202</v>
      </c>
      <c r="D43" s="128">
        <v>99.1</v>
      </c>
      <c r="E43" s="129">
        <v>99.63</v>
      </c>
      <c r="F43" s="129">
        <v>100.57</v>
      </c>
      <c r="G43" s="130">
        <v>485672</v>
      </c>
      <c r="H43" s="131">
        <v>170.2</v>
      </c>
      <c r="I43" s="130">
        <f t="shared" si="2"/>
        <v>2853.5370152761461</v>
      </c>
      <c r="J43" s="130">
        <f t="shared" si="6"/>
        <v>2269.503844469637</v>
      </c>
      <c r="K43" s="133">
        <f t="shared" si="5"/>
        <v>99.305036902347751</v>
      </c>
      <c r="L43" s="130">
        <v>8654</v>
      </c>
      <c r="M43" s="130">
        <v>6714</v>
      </c>
      <c r="N43" s="130">
        <f t="shared" si="3"/>
        <v>7977.9256133770905</v>
      </c>
      <c r="O43" s="132">
        <f t="shared" si="0"/>
        <v>100.05552069288444</v>
      </c>
      <c r="P43" s="130">
        <v>143400</v>
      </c>
      <c r="Q43" s="130">
        <v>56000</v>
      </c>
      <c r="R43" s="130">
        <f t="shared" si="4"/>
        <v>99700</v>
      </c>
      <c r="S43" s="133">
        <f t="shared" si="1"/>
        <v>117.34243512034368</v>
      </c>
      <c r="T43" s="131">
        <v>101.85</v>
      </c>
      <c r="U43" s="133">
        <v>100.19676987328403</v>
      </c>
      <c r="V43" s="133">
        <v>100.57205311204856</v>
      </c>
      <c r="W43" s="116">
        <v>37408</v>
      </c>
      <c r="X43" s="134">
        <v>1.5</v>
      </c>
      <c r="Y43" s="135">
        <v>1.5</v>
      </c>
      <c r="Z43" s="137">
        <f t="shared" si="7"/>
        <v>93.75</v>
      </c>
    </row>
    <row r="44" spans="2:26" ht="12" hidden="1" customHeight="1">
      <c r="B44" s="103" t="s">
        <v>203</v>
      </c>
      <c r="C44" s="270" t="s">
        <v>203</v>
      </c>
      <c r="D44" s="128">
        <v>99.92</v>
      </c>
      <c r="E44" s="129">
        <v>99.63</v>
      </c>
      <c r="F44" s="129">
        <v>100.57</v>
      </c>
      <c r="G44" s="130">
        <v>510313</v>
      </c>
      <c r="H44" s="131">
        <v>166.2</v>
      </c>
      <c r="I44" s="130">
        <f t="shared" si="2"/>
        <v>3070.4753309265948</v>
      </c>
      <c r="J44" s="130">
        <f t="shared" si="6"/>
        <v>2271.7850228405036</v>
      </c>
      <c r="K44" s="133">
        <f t="shared" si="5"/>
        <v>99.404852773050848</v>
      </c>
      <c r="L44" s="130">
        <v>8343</v>
      </c>
      <c r="M44" s="130">
        <v>6596</v>
      </c>
      <c r="N44" s="130">
        <f t="shared" si="3"/>
        <v>7734.184560087514</v>
      </c>
      <c r="O44" s="132">
        <f t="shared" si="0"/>
        <v>96.998631072325864</v>
      </c>
      <c r="P44" s="130">
        <v>141200</v>
      </c>
      <c r="Q44" s="130">
        <v>54730</v>
      </c>
      <c r="R44" s="130">
        <f t="shared" si="4"/>
        <v>97965</v>
      </c>
      <c r="S44" s="133">
        <f t="shared" si="1"/>
        <v>115.30041781910198</v>
      </c>
      <c r="T44" s="131">
        <v>101.75</v>
      </c>
      <c r="U44" s="133">
        <v>100.29748206411051</v>
      </c>
      <c r="V44" s="133">
        <v>100.62720363555742</v>
      </c>
      <c r="W44" s="116">
        <v>37440</v>
      </c>
      <c r="X44" s="134">
        <v>1.4</v>
      </c>
      <c r="Y44" s="135">
        <f>1.5*2/31+1.4*29/31</f>
        <v>1.4064516129032256</v>
      </c>
      <c r="Z44" s="137">
        <f t="shared" si="7"/>
        <v>87.903225806451601</v>
      </c>
    </row>
    <row r="45" spans="2:26" ht="12" hidden="1" customHeight="1">
      <c r="B45" s="103" t="s">
        <v>204</v>
      </c>
      <c r="C45" s="270" t="s">
        <v>204</v>
      </c>
      <c r="D45" s="128">
        <v>98.58</v>
      </c>
      <c r="E45" s="129">
        <v>99.63</v>
      </c>
      <c r="F45" s="129">
        <v>100.57</v>
      </c>
      <c r="G45" s="130">
        <v>323591</v>
      </c>
      <c r="H45" s="131">
        <v>153</v>
      </c>
      <c r="I45" s="130">
        <f t="shared" si="2"/>
        <v>2114.9738562091502</v>
      </c>
      <c r="J45" s="130">
        <f t="shared" si="6"/>
        <v>2271.5655112877635</v>
      </c>
      <c r="K45" s="133">
        <f t="shared" si="5"/>
        <v>99.395247764934865</v>
      </c>
      <c r="L45" s="130">
        <v>8336</v>
      </c>
      <c r="M45" s="130">
        <v>6433</v>
      </c>
      <c r="N45" s="130">
        <f t="shared" si="3"/>
        <v>7672.8198155961882</v>
      </c>
      <c r="O45" s="132">
        <f t="shared" si="0"/>
        <v>96.229022309369967</v>
      </c>
      <c r="P45" s="130">
        <v>139200</v>
      </c>
      <c r="Q45" s="130">
        <v>44760</v>
      </c>
      <c r="R45" s="130">
        <f t="shared" si="4"/>
        <v>91980</v>
      </c>
      <c r="S45" s="133">
        <f t="shared" si="1"/>
        <v>108.25634084623078</v>
      </c>
      <c r="T45" s="131">
        <v>101.75</v>
      </c>
      <c r="U45" s="133">
        <v>100.28779080556163</v>
      </c>
      <c r="V45" s="133">
        <v>100.61971229269915</v>
      </c>
      <c r="W45" s="116">
        <v>37482</v>
      </c>
      <c r="X45" s="134">
        <v>1.6</v>
      </c>
      <c r="Y45" s="135">
        <f>1.4*13/31+1.6*18/31</f>
        <v>1.5161290322580645</v>
      </c>
      <c r="Z45" s="137">
        <f t="shared" si="7"/>
        <v>94.758064516129025</v>
      </c>
    </row>
    <row r="46" spans="2:26" ht="12" hidden="1" customHeight="1">
      <c r="B46" s="103" t="s">
        <v>206</v>
      </c>
      <c r="C46" s="270" t="s">
        <v>206</v>
      </c>
      <c r="D46" s="128">
        <v>98.48</v>
      </c>
      <c r="E46" s="129">
        <v>99.63</v>
      </c>
      <c r="F46" s="129">
        <v>100.47</v>
      </c>
      <c r="G46" s="130">
        <v>296520</v>
      </c>
      <c r="H46" s="131">
        <v>163.9</v>
      </c>
      <c r="I46" s="130">
        <f t="shared" si="2"/>
        <v>1809.1519219035997</v>
      </c>
      <c r="J46" s="130">
        <f t="shared" si="6"/>
        <v>2272.0665959803714</v>
      </c>
      <c r="K46" s="133">
        <f t="shared" si="5"/>
        <v>99.417173365110386</v>
      </c>
      <c r="L46" s="130">
        <v>8620</v>
      </c>
      <c r="M46" s="130">
        <v>6481</v>
      </c>
      <c r="N46" s="130">
        <f t="shared" si="3"/>
        <v>7874.5757149554629</v>
      </c>
      <c r="O46" s="132">
        <f t="shared" si="0"/>
        <v>98.759353192551544</v>
      </c>
      <c r="P46" s="130">
        <v>139900</v>
      </c>
      <c r="Q46" s="130">
        <v>28700</v>
      </c>
      <c r="R46" s="130">
        <f t="shared" si="4"/>
        <v>84300</v>
      </c>
      <c r="S46" s="133">
        <f t="shared" si="1"/>
        <v>99.217324780792097</v>
      </c>
      <c r="T46" s="131">
        <v>100.13</v>
      </c>
      <c r="U46" s="133">
        <v>100.30991329182865</v>
      </c>
      <c r="V46" s="133">
        <v>100.26907297458355</v>
      </c>
      <c r="W46" s="116"/>
      <c r="X46" s="134">
        <v>1.6</v>
      </c>
      <c r="Y46" s="135">
        <v>1.6</v>
      </c>
      <c r="Z46" s="137">
        <f t="shared" si="7"/>
        <v>100</v>
      </c>
    </row>
    <row r="47" spans="2:26" ht="12" hidden="1" customHeight="1">
      <c r="B47" s="103" t="s">
        <v>207</v>
      </c>
      <c r="C47" s="270" t="s">
        <v>207</v>
      </c>
      <c r="D47" s="128">
        <v>98.48</v>
      </c>
      <c r="E47" s="129">
        <v>99.63</v>
      </c>
      <c r="F47" s="129">
        <v>100.18</v>
      </c>
      <c r="G47" s="130">
        <v>296768</v>
      </c>
      <c r="H47" s="131">
        <v>163.80000000000001</v>
      </c>
      <c r="I47" s="130">
        <f t="shared" si="2"/>
        <v>1811.7704517704517</v>
      </c>
      <c r="J47" s="130">
        <f t="shared" si="6"/>
        <v>2273.9688074544797</v>
      </c>
      <c r="K47" s="133">
        <f t="shared" si="5"/>
        <v>99.500407055633843</v>
      </c>
      <c r="L47" s="130">
        <v>8748</v>
      </c>
      <c r="M47" s="130">
        <v>6427</v>
      </c>
      <c r="N47" s="130">
        <f t="shared" si="3"/>
        <v>7939.1501797155825</v>
      </c>
      <c r="O47" s="132">
        <f t="shared" si="0"/>
        <v>99.569216809756057</v>
      </c>
      <c r="P47" s="130">
        <v>125500</v>
      </c>
      <c r="Q47" s="130">
        <v>15570</v>
      </c>
      <c r="R47" s="130">
        <f t="shared" si="4"/>
        <v>70535</v>
      </c>
      <c r="S47" s="133">
        <f t="shared" si="1"/>
        <v>83.016536220796795</v>
      </c>
      <c r="T47" s="131">
        <v>100.41</v>
      </c>
      <c r="U47" s="133">
        <v>100.39389439888254</v>
      </c>
      <c r="V47" s="133">
        <v>100.39755037033619</v>
      </c>
      <c r="W47" s="116"/>
      <c r="X47" s="134">
        <v>1.6</v>
      </c>
      <c r="Y47" s="135">
        <v>1.6</v>
      </c>
      <c r="Z47" s="137">
        <f t="shared" si="7"/>
        <v>100</v>
      </c>
    </row>
    <row r="48" spans="2:26" ht="12" hidden="1" customHeight="1">
      <c r="B48" s="103" t="s">
        <v>208</v>
      </c>
      <c r="C48" s="270" t="s">
        <v>208</v>
      </c>
      <c r="D48" s="128">
        <v>98.48</v>
      </c>
      <c r="E48" s="129">
        <v>99.63</v>
      </c>
      <c r="F48" s="129">
        <v>100.08</v>
      </c>
      <c r="G48" s="130">
        <v>312815</v>
      </c>
      <c r="H48" s="131">
        <v>169.9</v>
      </c>
      <c r="I48" s="130">
        <f t="shared" si="2"/>
        <v>1841.1712772218953</v>
      </c>
      <c r="J48" s="130">
        <f t="shared" si="6"/>
        <v>2273.6333159889118</v>
      </c>
      <c r="K48" s="133">
        <f t="shared" si="5"/>
        <v>99.48572719842636</v>
      </c>
      <c r="L48" s="130">
        <v>8500</v>
      </c>
      <c r="M48" s="130">
        <v>6431</v>
      </c>
      <c r="N48" s="130">
        <f t="shared" si="3"/>
        <v>7778.9701515861852</v>
      </c>
      <c r="O48" s="132">
        <f t="shared" si="0"/>
        <v>97.56031162615615</v>
      </c>
      <c r="P48" s="130">
        <v>111700</v>
      </c>
      <c r="Q48" s="130">
        <v>15760</v>
      </c>
      <c r="R48" s="130">
        <f t="shared" si="4"/>
        <v>63730</v>
      </c>
      <c r="S48" s="133">
        <f t="shared" si="1"/>
        <v>75.007355970105337</v>
      </c>
      <c r="T48" s="131">
        <v>100.13</v>
      </c>
      <c r="U48" s="133">
        <v>100.3790827204393</v>
      </c>
      <c r="V48" s="133">
        <v>100.32254094289958</v>
      </c>
      <c r="W48" s="116"/>
      <c r="X48" s="134">
        <v>1.6</v>
      </c>
      <c r="Y48" s="135">
        <v>1.6</v>
      </c>
      <c r="Z48" s="137">
        <f t="shared" si="7"/>
        <v>100</v>
      </c>
    </row>
    <row r="49" spans="2:26" ht="12" hidden="1" customHeight="1">
      <c r="B49" s="105" t="s">
        <v>209</v>
      </c>
      <c r="C49" s="271" t="s">
        <v>209</v>
      </c>
      <c r="D49" s="128">
        <v>98.27</v>
      </c>
      <c r="E49" s="129">
        <v>99.63</v>
      </c>
      <c r="F49" s="129">
        <v>99.69</v>
      </c>
      <c r="G49" s="130">
        <v>692209</v>
      </c>
      <c r="H49" s="131">
        <v>163.80000000000001</v>
      </c>
      <c r="I49" s="130">
        <f t="shared" si="2"/>
        <v>4225.9401709401709</v>
      </c>
      <c r="J49" s="130">
        <f t="shared" si="6"/>
        <v>2273.5635593018565</v>
      </c>
      <c r="K49" s="133">
        <f t="shared" si="5"/>
        <v>99.482674905565489</v>
      </c>
      <c r="L49" s="130">
        <v>8793</v>
      </c>
      <c r="M49" s="130">
        <v>6436</v>
      </c>
      <c r="N49" s="130">
        <f t="shared" si="3"/>
        <v>7971.6044694483517</v>
      </c>
      <c r="O49" s="132">
        <f t="shared" si="0"/>
        <v>99.976243775824173</v>
      </c>
      <c r="P49" s="130">
        <v>82980</v>
      </c>
      <c r="Q49" s="130">
        <v>10800</v>
      </c>
      <c r="R49" s="130">
        <f t="shared" si="4"/>
        <v>46890</v>
      </c>
      <c r="S49" s="133">
        <f t="shared" si="1"/>
        <v>55.187430118283999</v>
      </c>
      <c r="T49" s="131">
        <v>99.27</v>
      </c>
      <c r="U49" s="133">
        <v>100.37600301879567</v>
      </c>
      <c r="V49" s="133">
        <v>100.12494033352905</v>
      </c>
      <c r="W49" s="158"/>
      <c r="X49" s="134">
        <v>1.6</v>
      </c>
      <c r="Y49" s="135">
        <v>1.6</v>
      </c>
      <c r="Z49" s="137">
        <f t="shared" si="7"/>
        <v>100</v>
      </c>
    </row>
    <row r="50" spans="2:26" ht="12" hidden="1" customHeight="1">
      <c r="B50" s="104" t="s">
        <v>210</v>
      </c>
      <c r="C50" s="272" t="s">
        <v>211</v>
      </c>
      <c r="D50" s="138">
        <v>98.3</v>
      </c>
      <c r="E50" s="139">
        <v>99.2</v>
      </c>
      <c r="F50" s="139">
        <v>99.4</v>
      </c>
      <c r="G50" s="140">
        <v>304590</v>
      </c>
      <c r="H50" s="141">
        <v>141</v>
      </c>
      <c r="I50" s="140">
        <f t="shared" si="2"/>
        <v>2160.2127659574467</v>
      </c>
      <c r="J50" s="140">
        <f t="shared" si="6"/>
        <v>2274.3952300219021</v>
      </c>
      <c r="K50" s="142">
        <f t="shared" si="5"/>
        <v>99.519065719243102</v>
      </c>
      <c r="L50" s="140">
        <v>8841</v>
      </c>
      <c r="M50" s="140">
        <v>6442</v>
      </c>
      <c r="N50" s="140">
        <f t="shared" si="3"/>
        <v>8004.9678074699177</v>
      </c>
      <c r="O50" s="143">
        <f t="shared" si="0"/>
        <v>100.39467161278006</v>
      </c>
      <c r="P50" s="140">
        <v>83490</v>
      </c>
      <c r="Q50" s="140">
        <v>12690</v>
      </c>
      <c r="R50" s="140">
        <f t="shared" si="4"/>
        <v>48090</v>
      </c>
      <c r="S50" s="142">
        <f t="shared" si="1"/>
        <v>56.599776378508793</v>
      </c>
      <c r="T50" s="141">
        <v>99</v>
      </c>
      <c r="U50" s="142">
        <v>100.41272061235685</v>
      </c>
      <c r="V50" s="142">
        <v>100.09203303335184</v>
      </c>
      <c r="W50" s="144"/>
      <c r="X50" s="145">
        <v>1.6</v>
      </c>
      <c r="Y50" s="146">
        <v>1.6</v>
      </c>
      <c r="Z50" s="147">
        <f t="shared" si="7"/>
        <v>100</v>
      </c>
    </row>
    <row r="51" spans="2:26" ht="12" hidden="1" customHeight="1">
      <c r="B51" s="103" t="s">
        <v>198</v>
      </c>
      <c r="C51" s="270" t="s">
        <v>198</v>
      </c>
      <c r="D51" s="128">
        <v>98.3</v>
      </c>
      <c r="E51" s="129">
        <v>99.1</v>
      </c>
      <c r="F51" s="129">
        <v>99.4</v>
      </c>
      <c r="G51" s="130">
        <v>294826</v>
      </c>
      <c r="H51" s="131">
        <v>164.3</v>
      </c>
      <c r="I51" s="130">
        <f t="shared" si="2"/>
        <v>1794.4370054777844</v>
      </c>
      <c r="J51" s="130">
        <f t="shared" si="6"/>
        <v>2273.9714737229897</v>
      </c>
      <c r="K51" s="133">
        <f t="shared" si="5"/>
        <v>99.500523721615025</v>
      </c>
      <c r="L51" s="130">
        <v>8921</v>
      </c>
      <c r="M51" s="130">
        <v>6412</v>
      </c>
      <c r="N51" s="130">
        <f t="shared" si="3"/>
        <v>8046.6336927644952</v>
      </c>
      <c r="O51" s="132">
        <f t="shared" si="0"/>
        <v>100.91722622789064</v>
      </c>
      <c r="P51" s="130">
        <v>84300</v>
      </c>
      <c r="Q51" s="130">
        <v>23090</v>
      </c>
      <c r="R51" s="130">
        <f t="shared" si="4"/>
        <v>53695</v>
      </c>
      <c r="S51" s="133">
        <f t="shared" si="1"/>
        <v>63.196610368975456</v>
      </c>
      <c r="T51" s="131">
        <v>99</v>
      </c>
      <c r="U51" s="133">
        <v>100.39401211249334</v>
      </c>
      <c r="V51" s="133">
        <v>100.07757136295734</v>
      </c>
      <c r="W51" s="116">
        <v>37307</v>
      </c>
      <c r="X51" s="134">
        <v>1.8</v>
      </c>
      <c r="Y51" s="135">
        <f>1.6*19/28+1.8*9/28</f>
        <v>1.6642857142857144</v>
      </c>
      <c r="Z51" s="137">
        <f t="shared" si="7"/>
        <v>104.01785714285714</v>
      </c>
    </row>
    <row r="52" spans="2:26" ht="12" hidden="1" customHeight="1">
      <c r="B52" s="103" t="s">
        <v>199</v>
      </c>
      <c r="C52" s="270" t="s">
        <v>199</v>
      </c>
      <c r="D52" s="128">
        <v>98.2</v>
      </c>
      <c r="E52" s="129">
        <v>99.3</v>
      </c>
      <c r="F52" s="129">
        <v>99.3</v>
      </c>
      <c r="G52" s="130">
        <v>297922</v>
      </c>
      <c r="H52" s="131">
        <v>160.80000000000001</v>
      </c>
      <c r="I52" s="130">
        <f t="shared" si="2"/>
        <v>1852.7487562189053</v>
      </c>
      <c r="J52" s="130">
        <f t="shared" si="6"/>
        <v>2272.8592864841885</v>
      </c>
      <c r="K52" s="133">
        <f t="shared" si="5"/>
        <v>99.45185854968301</v>
      </c>
      <c r="L52" s="130">
        <v>8976</v>
      </c>
      <c r="M52" s="130">
        <v>6545</v>
      </c>
      <c r="N52" s="130">
        <f t="shared" si="3"/>
        <v>8128.8160650101581</v>
      </c>
      <c r="O52" s="132">
        <f t="shared" si="0"/>
        <v>101.9479202259681</v>
      </c>
      <c r="P52" s="130">
        <v>86920</v>
      </c>
      <c r="Q52" s="130">
        <v>31520</v>
      </c>
      <c r="R52" s="130">
        <f t="shared" si="4"/>
        <v>59220</v>
      </c>
      <c r="S52" s="133">
        <f t="shared" si="1"/>
        <v>69.699287942093804</v>
      </c>
      <c r="T52" s="131">
        <v>99.1</v>
      </c>
      <c r="U52" s="133">
        <v>100.34490994018653</v>
      </c>
      <c r="V52" s="133">
        <v>100.06231538376419</v>
      </c>
      <c r="W52" s="116"/>
      <c r="X52" s="134">
        <v>1.8</v>
      </c>
      <c r="Y52" s="135">
        <f>1.6*19/28+1.8*9/28</f>
        <v>1.6642857142857144</v>
      </c>
      <c r="Z52" s="137">
        <f t="shared" si="7"/>
        <v>104.01785714285714</v>
      </c>
    </row>
    <row r="53" spans="2:26" ht="12" hidden="1" customHeight="1">
      <c r="B53" s="103" t="s">
        <v>200</v>
      </c>
      <c r="C53" s="270" t="s">
        <v>200</v>
      </c>
      <c r="D53" s="128">
        <v>97.6</v>
      </c>
      <c r="E53" s="129">
        <v>98.4</v>
      </c>
      <c r="F53" s="129">
        <v>99.3</v>
      </c>
      <c r="G53" s="130">
        <v>302193</v>
      </c>
      <c r="H53" s="131">
        <v>167.7</v>
      </c>
      <c r="I53" s="130">
        <f t="shared" si="2"/>
        <v>1801.9856887298749</v>
      </c>
      <c r="J53" s="130">
        <f t="shared" si="6"/>
        <v>2274.3176779474047</v>
      </c>
      <c r="K53" s="133">
        <f t="shared" si="5"/>
        <v>99.515672329256759</v>
      </c>
      <c r="L53" s="130">
        <v>8597</v>
      </c>
      <c r="M53" s="130">
        <v>6546</v>
      </c>
      <c r="N53" s="130">
        <f t="shared" si="3"/>
        <v>7882.2430067198011</v>
      </c>
      <c r="O53" s="132">
        <f t="shared" si="0"/>
        <v>98.855512884552027</v>
      </c>
      <c r="P53" s="130">
        <v>132300</v>
      </c>
      <c r="Q53" s="130">
        <v>38880</v>
      </c>
      <c r="R53" s="130">
        <f t="shared" si="4"/>
        <v>85590</v>
      </c>
      <c r="S53" s="133">
        <f t="shared" si="1"/>
        <v>100.73559701053374</v>
      </c>
      <c r="T53" s="131">
        <v>96.4</v>
      </c>
      <c r="U53" s="133">
        <v>100.40929675062577</v>
      </c>
      <c r="V53" s="133">
        <v>99.499186388233724</v>
      </c>
      <c r="W53" s="116">
        <v>37348</v>
      </c>
      <c r="X53" s="134">
        <v>1.7</v>
      </c>
      <c r="Y53" s="135">
        <f>1.8*1/30+1.7*29/30</f>
        <v>1.7033333333333334</v>
      </c>
      <c r="Z53" s="137">
        <f t="shared" si="7"/>
        <v>106.45833333333331</v>
      </c>
    </row>
    <row r="54" spans="2:26" ht="12" hidden="1" customHeight="1">
      <c r="B54" s="103" t="s">
        <v>201</v>
      </c>
      <c r="C54" s="270" t="s">
        <v>201</v>
      </c>
      <c r="D54" s="128">
        <v>97.2</v>
      </c>
      <c r="E54" s="129">
        <v>98.4</v>
      </c>
      <c r="F54" s="129">
        <v>99.6</v>
      </c>
      <c r="G54" s="130">
        <v>294755</v>
      </c>
      <c r="H54" s="131">
        <v>153.9</v>
      </c>
      <c r="I54" s="130">
        <f t="shared" si="2"/>
        <v>1915.2371669915528</v>
      </c>
      <c r="J54" s="130">
        <f t="shared" si="6"/>
        <v>2270.9701173019644</v>
      </c>
      <c r="K54" s="133">
        <f t="shared" si="5"/>
        <v>99.369195541284626</v>
      </c>
      <c r="L54" s="130">
        <v>8601</v>
      </c>
      <c r="M54" s="130">
        <v>6652</v>
      </c>
      <c r="N54" s="130">
        <f t="shared" si="3"/>
        <v>7921.7891858102848</v>
      </c>
      <c r="O54" s="132">
        <f t="shared" si="0"/>
        <v>99.351483106896268</v>
      </c>
      <c r="P54" s="130">
        <v>140200</v>
      </c>
      <c r="Q54" s="130">
        <v>44860</v>
      </c>
      <c r="R54" s="130">
        <f t="shared" si="4"/>
        <v>92530</v>
      </c>
      <c r="S54" s="133">
        <f t="shared" si="1"/>
        <v>108.90366621550049</v>
      </c>
      <c r="T54" s="131">
        <v>96.6</v>
      </c>
      <c r="U54" s="133">
        <v>100.26150463983232</v>
      </c>
      <c r="V54" s="133">
        <v>99.430343086590398</v>
      </c>
      <c r="W54" s="116"/>
      <c r="X54" s="134">
        <v>1.7</v>
      </c>
      <c r="Y54" s="135">
        <v>1.7</v>
      </c>
      <c r="Z54" s="137">
        <f t="shared" si="7"/>
        <v>106.25</v>
      </c>
    </row>
    <row r="55" spans="2:26" ht="12" hidden="1" customHeight="1">
      <c r="B55" s="103" t="s">
        <v>202</v>
      </c>
      <c r="C55" s="270" t="s">
        <v>202</v>
      </c>
      <c r="D55" s="128">
        <v>97.1</v>
      </c>
      <c r="E55" s="129">
        <v>98.4</v>
      </c>
      <c r="F55" s="129">
        <v>99.6</v>
      </c>
      <c r="G55" s="130">
        <v>473592</v>
      </c>
      <c r="H55" s="131">
        <v>169</v>
      </c>
      <c r="I55" s="130">
        <f t="shared" si="2"/>
        <v>2802.3195266272191</v>
      </c>
      <c r="J55" s="130">
        <f t="shared" si="6"/>
        <v>2266.701993247887</v>
      </c>
      <c r="K55" s="133">
        <f t="shared" si="5"/>
        <v>99.182438326606714</v>
      </c>
      <c r="L55" s="130">
        <v>8659</v>
      </c>
      <c r="M55" s="130">
        <v>6723</v>
      </c>
      <c r="N55" s="130">
        <f t="shared" si="3"/>
        <v>7984.3195811845608</v>
      </c>
      <c r="O55" s="132">
        <f t="shared" si="0"/>
        <v>100.13571093396629</v>
      </c>
      <c r="P55" s="130">
        <v>121100</v>
      </c>
      <c r="Q55" s="130">
        <v>52790</v>
      </c>
      <c r="R55" s="130">
        <f t="shared" si="4"/>
        <v>86945</v>
      </c>
      <c r="S55" s="133">
        <f t="shared" si="1"/>
        <v>102.33037132937093</v>
      </c>
      <c r="T55" s="131">
        <v>96.7</v>
      </c>
      <c r="U55" s="133">
        <v>100.0730703947531</v>
      </c>
      <c r="V55" s="133">
        <v>99.307383415144159</v>
      </c>
      <c r="W55" s="116"/>
      <c r="X55" s="134">
        <v>1.7</v>
      </c>
      <c r="Y55" s="135">
        <v>1.7</v>
      </c>
      <c r="Z55" s="137">
        <f t="shared" si="7"/>
        <v>106.25</v>
      </c>
    </row>
    <row r="56" spans="2:26" ht="12" hidden="1" customHeight="1">
      <c r="B56" s="103" t="s">
        <v>203</v>
      </c>
      <c r="C56" s="270" t="s">
        <v>203</v>
      </c>
      <c r="D56" s="128">
        <v>96.9</v>
      </c>
      <c r="E56" s="129">
        <v>98.4</v>
      </c>
      <c r="F56" s="129">
        <v>99.5</v>
      </c>
      <c r="G56" s="130">
        <v>487977</v>
      </c>
      <c r="H56" s="131">
        <v>169.5</v>
      </c>
      <c r="I56" s="130">
        <f t="shared" si="2"/>
        <v>2878.9203539823011</v>
      </c>
      <c r="J56" s="130">
        <f t="shared" si="6"/>
        <v>2250.7390785025291</v>
      </c>
      <c r="K56" s="133">
        <f t="shared" si="5"/>
        <v>98.48396062112954</v>
      </c>
      <c r="L56" s="130">
        <v>8345</v>
      </c>
      <c r="M56" s="130">
        <v>6603</v>
      </c>
      <c r="N56" s="130">
        <f t="shared" si="3"/>
        <v>7737.9270198468512</v>
      </c>
      <c r="O56" s="132">
        <f t="shared" si="0"/>
        <v>97.045567303376302</v>
      </c>
      <c r="P56" s="130">
        <v>146500</v>
      </c>
      <c r="Q56" s="130">
        <v>50040</v>
      </c>
      <c r="R56" s="130">
        <f t="shared" si="4"/>
        <v>98270</v>
      </c>
      <c r="S56" s="133">
        <f t="shared" si="1"/>
        <v>115.65938916024245</v>
      </c>
      <c r="T56" s="131">
        <v>97.3</v>
      </c>
      <c r="U56" s="133">
        <v>99.368320544187739</v>
      </c>
      <c r="V56" s="133">
        <v>98.898811780657127</v>
      </c>
      <c r="W56" s="116">
        <v>37442</v>
      </c>
      <c r="X56" s="134">
        <v>1.5</v>
      </c>
      <c r="Y56" s="135">
        <f>1.7*4/31+1.5*27/31</f>
        <v>1.5258064516129033</v>
      </c>
      <c r="Z56" s="137">
        <f t="shared" si="7"/>
        <v>95.362903225806448</v>
      </c>
    </row>
    <row r="57" spans="2:26" ht="12" hidden="1" customHeight="1">
      <c r="B57" s="103" t="s">
        <v>204</v>
      </c>
      <c r="C57" s="270" t="s">
        <v>204</v>
      </c>
      <c r="D57" s="128">
        <v>96.9</v>
      </c>
      <c r="E57" s="129">
        <v>98.4</v>
      </c>
      <c r="F57" s="129">
        <v>99.6</v>
      </c>
      <c r="G57" s="130">
        <v>315091</v>
      </c>
      <c r="H57" s="131">
        <v>155.9</v>
      </c>
      <c r="I57" s="130">
        <f t="shared" si="2"/>
        <v>2021.1096856959589</v>
      </c>
      <c r="J57" s="130">
        <f t="shared" si="6"/>
        <v>2242.9170642930972</v>
      </c>
      <c r="K57" s="133">
        <f t="shared" si="5"/>
        <v>98.14169840746942</v>
      </c>
      <c r="L57" s="130">
        <v>8348</v>
      </c>
      <c r="M57" s="130">
        <v>6450</v>
      </c>
      <c r="N57" s="130">
        <f t="shared" si="3"/>
        <v>7686.5622753555253</v>
      </c>
      <c r="O57" s="132">
        <f t="shared" si="0"/>
        <v>96.401373999954274</v>
      </c>
      <c r="P57" s="130">
        <v>163400</v>
      </c>
      <c r="Q57" s="130">
        <v>44420</v>
      </c>
      <c r="R57" s="130">
        <f t="shared" si="4"/>
        <v>103910</v>
      </c>
      <c r="S57" s="133">
        <f t="shared" si="1"/>
        <v>122.297416583299</v>
      </c>
      <c r="T57" s="131">
        <v>97.3</v>
      </c>
      <c r="U57" s="133">
        <v>99.022984906357536</v>
      </c>
      <c r="V57" s="133">
        <v>98.631867332614377</v>
      </c>
      <c r="W57" s="116"/>
      <c r="X57" s="134">
        <v>1.5</v>
      </c>
      <c r="Y57" s="135">
        <v>1.5</v>
      </c>
      <c r="Z57" s="137">
        <f t="shared" si="7"/>
        <v>93.75</v>
      </c>
    </row>
    <row r="58" spans="2:26" ht="12" hidden="1" customHeight="1">
      <c r="B58" s="103" t="s">
        <v>206</v>
      </c>
      <c r="C58" s="270" t="s">
        <v>206</v>
      </c>
      <c r="D58" s="128">
        <v>97</v>
      </c>
      <c r="E58" s="129">
        <v>98.4</v>
      </c>
      <c r="F58" s="129">
        <v>99.7</v>
      </c>
      <c r="G58" s="130">
        <v>299940</v>
      </c>
      <c r="H58" s="131">
        <v>165</v>
      </c>
      <c r="I58" s="130">
        <f t="shared" si="2"/>
        <v>1817.8181818181818</v>
      </c>
      <c r="J58" s="130">
        <f t="shared" si="6"/>
        <v>2243.6392526193122</v>
      </c>
      <c r="K58" s="133">
        <f t="shared" si="5"/>
        <v>98.173298679290937</v>
      </c>
      <c r="L58" s="130">
        <v>8636</v>
      </c>
      <c r="M58" s="130">
        <v>6499</v>
      </c>
      <c r="N58" s="130">
        <f t="shared" si="3"/>
        <v>7891.2726988591976</v>
      </c>
      <c r="O58" s="132">
        <f t="shared" si="0"/>
        <v>98.96875918346322</v>
      </c>
      <c r="P58" s="130">
        <v>160600</v>
      </c>
      <c r="Q58" s="130">
        <v>44570</v>
      </c>
      <c r="R58" s="130">
        <f t="shared" si="4"/>
        <v>102585</v>
      </c>
      <c r="S58" s="133">
        <f t="shared" si="1"/>
        <v>120.73795092096746</v>
      </c>
      <c r="T58" s="131">
        <v>96.2</v>
      </c>
      <c r="U58" s="133">
        <v>99.054868940263574</v>
      </c>
      <c r="V58" s="133">
        <v>98.406813690823739</v>
      </c>
      <c r="W58" s="116"/>
      <c r="X58" s="134">
        <v>1.5</v>
      </c>
      <c r="Y58" s="135">
        <v>1.5</v>
      </c>
      <c r="Z58" s="137">
        <f t="shared" si="7"/>
        <v>93.75</v>
      </c>
    </row>
    <row r="59" spans="2:26" ht="12" hidden="1" customHeight="1">
      <c r="B59" s="103" t="s">
        <v>207</v>
      </c>
      <c r="C59" s="270" t="s">
        <v>207</v>
      </c>
      <c r="D59" s="128">
        <v>97.1</v>
      </c>
      <c r="E59" s="129">
        <v>98.4</v>
      </c>
      <c r="F59" s="129">
        <v>100</v>
      </c>
      <c r="G59" s="130">
        <v>300112</v>
      </c>
      <c r="H59" s="131">
        <v>165.1</v>
      </c>
      <c r="I59" s="130">
        <f t="shared" si="2"/>
        <v>1817.7589339794065</v>
      </c>
      <c r="J59" s="130">
        <f t="shared" si="6"/>
        <v>2244.1382928033913</v>
      </c>
      <c r="K59" s="133">
        <f t="shared" si="5"/>
        <v>98.195134819386709</v>
      </c>
      <c r="L59" s="130">
        <v>8755</v>
      </c>
      <c r="M59" s="130">
        <v>6436</v>
      </c>
      <c r="N59" s="130">
        <f t="shared" si="3"/>
        <v>7946.8471636193171</v>
      </c>
      <c r="O59" s="132">
        <f t="shared" si="0"/>
        <v>99.665748887087233</v>
      </c>
      <c r="P59" s="130">
        <v>135100</v>
      </c>
      <c r="Q59" s="130">
        <v>46640</v>
      </c>
      <c r="R59" s="130">
        <f t="shared" si="4"/>
        <v>90870</v>
      </c>
      <c r="S59" s="133">
        <f t="shared" si="1"/>
        <v>106.94992055552287</v>
      </c>
      <c r="T59" s="131">
        <v>96</v>
      </c>
      <c r="U59" s="133">
        <v>99.076901163123011</v>
      </c>
      <c r="V59" s="133">
        <v>98.378444599094081</v>
      </c>
      <c r="W59" s="116"/>
      <c r="X59" s="134">
        <v>1.5</v>
      </c>
      <c r="Y59" s="135">
        <v>1.5</v>
      </c>
      <c r="Z59" s="137">
        <f t="shared" si="7"/>
        <v>93.75</v>
      </c>
    </row>
    <row r="60" spans="2:26" ht="12" hidden="1" customHeight="1">
      <c r="B60" s="103" t="s">
        <v>208</v>
      </c>
      <c r="C60" s="270" t="s">
        <v>208</v>
      </c>
      <c r="D60" s="128">
        <v>96.8</v>
      </c>
      <c r="E60" s="129">
        <v>98.4</v>
      </c>
      <c r="F60" s="129">
        <v>100.2</v>
      </c>
      <c r="G60" s="130">
        <v>314210</v>
      </c>
      <c r="H60" s="131">
        <v>171.9</v>
      </c>
      <c r="I60" s="130">
        <f t="shared" si="2"/>
        <v>1827.8650378126817</v>
      </c>
      <c r="J60" s="130">
        <f t="shared" si="6"/>
        <v>2243.02943951929</v>
      </c>
      <c r="K60" s="133">
        <f t="shared" si="5"/>
        <v>98.146615528897158</v>
      </c>
      <c r="L60" s="130">
        <v>8493</v>
      </c>
      <c r="M60" s="130">
        <v>6449</v>
      </c>
      <c r="N60" s="130">
        <f t="shared" si="3"/>
        <v>7780.682450382872</v>
      </c>
      <c r="O60" s="132">
        <f t="shared" si="0"/>
        <v>97.581786500200735</v>
      </c>
      <c r="P60" s="130">
        <v>133000</v>
      </c>
      <c r="Q60" s="130">
        <v>49830</v>
      </c>
      <c r="R60" s="130">
        <f t="shared" si="4"/>
        <v>91415</v>
      </c>
      <c r="S60" s="133">
        <f t="shared" si="1"/>
        <v>107.59136114870829</v>
      </c>
      <c r="T60" s="131">
        <v>96</v>
      </c>
      <c r="U60" s="133">
        <v>99.027946182235411</v>
      </c>
      <c r="V60" s="133">
        <v>98.340602398867972</v>
      </c>
      <c r="W60" s="116">
        <v>37926</v>
      </c>
      <c r="X60" s="134">
        <v>1.3</v>
      </c>
      <c r="Y60" s="135">
        <v>1.3</v>
      </c>
      <c r="Z60" s="137">
        <f t="shared" si="7"/>
        <v>81.25</v>
      </c>
    </row>
    <row r="61" spans="2:26" ht="12" hidden="1" customHeight="1">
      <c r="B61" s="105" t="s">
        <v>209</v>
      </c>
      <c r="C61" s="271" t="s">
        <v>209</v>
      </c>
      <c r="D61" s="148">
        <v>96.7</v>
      </c>
      <c r="E61" s="149">
        <v>98.4</v>
      </c>
      <c r="F61" s="149">
        <v>100.2</v>
      </c>
      <c r="G61" s="150">
        <v>683647</v>
      </c>
      <c r="H61" s="151">
        <v>167.9</v>
      </c>
      <c r="I61" s="150">
        <f t="shared" si="2"/>
        <v>4071.7510422870755</v>
      </c>
      <c r="J61" s="150">
        <f t="shared" si="6"/>
        <v>2230.1803454648657</v>
      </c>
      <c r="K61" s="152">
        <f t="shared" si="5"/>
        <v>97.584387021399507</v>
      </c>
      <c r="L61" s="150">
        <v>8797</v>
      </c>
      <c r="M61" s="150">
        <v>6443</v>
      </c>
      <c r="N61" s="150">
        <f t="shared" si="3"/>
        <v>7976.6499453039542</v>
      </c>
      <c r="O61" s="153">
        <f t="shared" si="0"/>
        <v>100.03952184312392</v>
      </c>
      <c r="P61" s="150">
        <v>128000</v>
      </c>
      <c r="Q61" s="150">
        <v>48080</v>
      </c>
      <c r="R61" s="150">
        <f t="shared" si="4"/>
        <v>88040</v>
      </c>
      <c r="S61" s="152">
        <f t="shared" si="1"/>
        <v>103.61913729182604</v>
      </c>
      <c r="T61" s="151">
        <v>96</v>
      </c>
      <c r="U61" s="152">
        <v>98.460669011417394</v>
      </c>
      <c r="V61" s="152">
        <v>97.902097145825635</v>
      </c>
      <c r="W61" s="154">
        <v>37958</v>
      </c>
      <c r="X61" s="155">
        <v>1.2</v>
      </c>
      <c r="Y61" s="156">
        <f>1.3*2/31+1.2*29/31</f>
        <v>1.2064516129032259</v>
      </c>
      <c r="Z61" s="157">
        <f t="shared" si="7"/>
        <v>75.403225806451616</v>
      </c>
    </row>
    <row r="62" spans="2:26" ht="12" hidden="1" customHeight="1">
      <c r="B62" s="104" t="s">
        <v>212</v>
      </c>
      <c r="C62" s="272" t="s">
        <v>213</v>
      </c>
      <c r="D62" s="128">
        <v>96.4</v>
      </c>
      <c r="E62" s="129">
        <v>98.3</v>
      </c>
      <c r="F62" s="129">
        <v>100.2</v>
      </c>
      <c r="G62" s="130">
        <v>308320</v>
      </c>
      <c r="H62" s="131">
        <v>146.1</v>
      </c>
      <c r="I62" s="130">
        <f t="shared" si="2"/>
        <v>2110.3353867214237</v>
      </c>
      <c r="J62" s="130">
        <f t="shared" si="6"/>
        <v>2226.0238971951972</v>
      </c>
      <c r="K62" s="133">
        <f t="shared" si="5"/>
        <v>97.402516323181516</v>
      </c>
      <c r="L62" s="130">
        <v>8862</v>
      </c>
      <c r="M62" s="130">
        <v>6461</v>
      </c>
      <c r="N62" s="130">
        <f t="shared" si="3"/>
        <v>8025.2708235661839</v>
      </c>
      <c r="O62" s="132">
        <f t="shared" si="0"/>
        <v>100.64930282214377</v>
      </c>
      <c r="P62" s="130">
        <v>135100</v>
      </c>
      <c r="Q62" s="130">
        <v>38790</v>
      </c>
      <c r="R62" s="130">
        <f t="shared" si="4"/>
        <v>86945</v>
      </c>
      <c r="S62" s="133">
        <f t="shared" si="1"/>
        <v>102.33037132937093</v>
      </c>
      <c r="T62" s="131">
        <v>96.1</v>
      </c>
      <c r="U62" s="133">
        <v>98.277165162423699</v>
      </c>
      <c r="V62" s="133">
        <v>97.782948670553523</v>
      </c>
      <c r="W62" s="158"/>
      <c r="X62" s="134">
        <v>1.2</v>
      </c>
      <c r="Y62" s="135">
        <v>1.2</v>
      </c>
      <c r="Z62" s="137">
        <f t="shared" si="7"/>
        <v>74.999999999999986</v>
      </c>
    </row>
    <row r="63" spans="2:26" ht="12" hidden="1" customHeight="1">
      <c r="B63" s="103" t="s">
        <v>198</v>
      </c>
      <c r="C63" s="270" t="s">
        <v>198</v>
      </c>
      <c r="D63" s="128">
        <v>96.3</v>
      </c>
      <c r="E63" s="129">
        <v>98.1</v>
      </c>
      <c r="F63" s="129">
        <v>100.3</v>
      </c>
      <c r="G63" s="130">
        <v>299494</v>
      </c>
      <c r="H63" s="131">
        <v>166.5</v>
      </c>
      <c r="I63" s="130">
        <f t="shared" si="2"/>
        <v>1798.7627627627628</v>
      </c>
      <c r="J63" s="130">
        <f t="shared" si="6"/>
        <v>2226.3843769689452</v>
      </c>
      <c r="K63" s="133">
        <f t="shared" si="5"/>
        <v>97.418289575701806</v>
      </c>
      <c r="L63" s="130">
        <v>8921</v>
      </c>
      <c r="M63" s="130">
        <v>6414</v>
      </c>
      <c r="N63" s="130">
        <f t="shared" si="3"/>
        <v>8047.3306766682308</v>
      </c>
      <c r="O63" s="132">
        <f t="shared" si="0"/>
        <v>100.92596748354809</v>
      </c>
      <c r="P63" s="130">
        <v>136800</v>
      </c>
      <c r="Q63" s="130">
        <v>38990</v>
      </c>
      <c r="R63" s="130">
        <f t="shared" si="4"/>
        <v>87895</v>
      </c>
      <c r="S63" s="133">
        <f t="shared" si="1"/>
        <v>103.44847878538221</v>
      </c>
      <c r="T63" s="131">
        <v>96.1</v>
      </c>
      <c r="U63" s="133">
        <v>98.2930800545805</v>
      </c>
      <c r="V63" s="133">
        <v>97.795250882190729</v>
      </c>
      <c r="W63" s="116">
        <v>37672</v>
      </c>
      <c r="X63" s="134">
        <v>1.1000000000000001</v>
      </c>
      <c r="Y63" s="135">
        <f>1.2*19/28+1.1*9/28</f>
        <v>1.1678571428571429</v>
      </c>
      <c r="Z63" s="137">
        <f t="shared" si="7"/>
        <v>72.991071428571431</v>
      </c>
    </row>
    <row r="64" spans="2:26" ht="12" hidden="1" customHeight="1">
      <c r="B64" s="103" t="s">
        <v>199</v>
      </c>
      <c r="C64" s="270" t="s">
        <v>199</v>
      </c>
      <c r="D64" s="128">
        <v>96.2</v>
      </c>
      <c r="E64" s="129">
        <v>98.1</v>
      </c>
      <c r="F64" s="129">
        <v>100.4</v>
      </c>
      <c r="G64" s="130">
        <v>303970</v>
      </c>
      <c r="H64" s="131">
        <v>163.19999999999999</v>
      </c>
      <c r="I64" s="130">
        <f t="shared" si="2"/>
        <v>1862.561274509804</v>
      </c>
      <c r="J64" s="130">
        <f t="shared" si="6"/>
        <v>2227.2020868265204</v>
      </c>
      <c r="K64" s="133">
        <f t="shared" si="5"/>
        <v>97.454069514026116</v>
      </c>
      <c r="L64" s="130">
        <v>8983</v>
      </c>
      <c r="M64" s="130">
        <v>6548</v>
      </c>
      <c r="N64" s="130">
        <f t="shared" si="3"/>
        <v>8134.4220972026887</v>
      </c>
      <c r="O64" s="132">
        <f t="shared" si="0"/>
        <v>102.01822853632689</v>
      </c>
      <c r="P64" s="130">
        <v>139100</v>
      </c>
      <c r="Q64" s="130">
        <v>42990</v>
      </c>
      <c r="R64" s="130">
        <f t="shared" si="4"/>
        <v>91045</v>
      </c>
      <c r="S64" s="133">
        <f t="shared" si="1"/>
        <v>107.15588771847231</v>
      </c>
      <c r="T64" s="131">
        <v>96.5</v>
      </c>
      <c r="U64" s="133">
        <v>98.329181287289245</v>
      </c>
      <c r="V64" s="133">
        <v>97.913957135074583</v>
      </c>
      <c r="W64" s="116">
        <v>37699</v>
      </c>
      <c r="X64" s="134">
        <v>1</v>
      </c>
      <c r="Y64" s="135">
        <f>1.1*18/31+1*12/31</f>
        <v>1.0258064516129033</v>
      </c>
      <c r="Z64" s="137">
        <f t="shared" si="7"/>
        <v>64.112903225806448</v>
      </c>
    </row>
    <row r="65" spans="2:29" ht="12" hidden="1" customHeight="1">
      <c r="B65" s="103" t="s">
        <v>200</v>
      </c>
      <c r="C65" s="270" t="s">
        <v>200</v>
      </c>
      <c r="D65" s="128">
        <v>95.9</v>
      </c>
      <c r="E65" s="129">
        <v>98.1</v>
      </c>
      <c r="F65" s="129">
        <v>100.3</v>
      </c>
      <c r="G65" s="130">
        <v>306379</v>
      </c>
      <c r="H65" s="131">
        <v>168</v>
      </c>
      <c r="I65" s="130">
        <f t="shared" si="2"/>
        <v>1823.6845238095239</v>
      </c>
      <c r="J65" s="130">
        <f t="shared" si="6"/>
        <v>2229.0103230831578</v>
      </c>
      <c r="K65" s="133">
        <f t="shared" si="5"/>
        <v>97.533191198984312</v>
      </c>
      <c r="L65" s="130">
        <v>8611</v>
      </c>
      <c r="M65" s="130">
        <v>6554</v>
      </c>
      <c r="N65" s="130">
        <f t="shared" si="3"/>
        <v>7894.1520550085961</v>
      </c>
      <c r="O65" s="132">
        <f t="shared" si="0"/>
        <v>99.004870760927076</v>
      </c>
      <c r="P65" s="130">
        <v>147600</v>
      </c>
      <c r="Q65" s="130">
        <v>41200</v>
      </c>
      <c r="R65" s="130">
        <f t="shared" si="4"/>
        <v>94400</v>
      </c>
      <c r="S65" s="133">
        <f t="shared" si="1"/>
        <v>111.10457247101748</v>
      </c>
      <c r="T65" s="131">
        <v>97.2</v>
      </c>
      <c r="U65" s="133">
        <v>98.409013464055249</v>
      </c>
      <c r="V65" s="133">
        <v>98.134567407714712</v>
      </c>
      <c r="W65" s="116">
        <v>37729</v>
      </c>
      <c r="X65" s="134">
        <v>0.9</v>
      </c>
      <c r="Y65" s="135">
        <f>1*17/30+0.9*13/30</f>
        <v>0.95666666666666667</v>
      </c>
      <c r="Z65" s="137">
        <f t="shared" si="7"/>
        <v>59.791666666666664</v>
      </c>
    </row>
    <row r="66" spans="2:29" ht="12" hidden="1" customHeight="1">
      <c r="B66" s="103" t="s">
        <v>201</v>
      </c>
      <c r="C66" s="270" t="s">
        <v>201</v>
      </c>
      <c r="D66" s="128">
        <v>95.8</v>
      </c>
      <c r="E66" s="129">
        <v>98.1</v>
      </c>
      <c r="F66" s="129">
        <v>100.2</v>
      </c>
      <c r="G66" s="130">
        <v>300534</v>
      </c>
      <c r="H66" s="131">
        <v>158.4</v>
      </c>
      <c r="I66" s="130">
        <f t="shared" si="2"/>
        <v>1897.310606060606</v>
      </c>
      <c r="J66" s="130">
        <f t="shared" si="6"/>
        <v>2227.5164430055788</v>
      </c>
      <c r="K66" s="133">
        <f t="shared" si="5"/>
        <v>97.467824569800953</v>
      </c>
      <c r="L66" s="130">
        <v>8609</v>
      </c>
      <c r="M66" s="130">
        <v>6653</v>
      </c>
      <c r="N66" s="130">
        <f t="shared" si="3"/>
        <v>7927.3497421472121</v>
      </c>
      <c r="O66" s="132">
        <f t="shared" si="0"/>
        <v>99.421221079722244</v>
      </c>
      <c r="P66" s="130">
        <v>152400</v>
      </c>
      <c r="Q66" s="130">
        <v>38920</v>
      </c>
      <c r="R66" s="130">
        <f t="shared" si="4"/>
        <v>95660</v>
      </c>
      <c r="S66" s="133">
        <f t="shared" si="1"/>
        <v>112.58753604425351</v>
      </c>
      <c r="T66" s="131">
        <v>97.8</v>
      </c>
      <c r="U66" s="133">
        <v>98.34305985982752</v>
      </c>
      <c r="V66" s="133">
        <v>98.219785271646657</v>
      </c>
      <c r="W66" s="116">
        <v>37764</v>
      </c>
      <c r="X66" s="134">
        <v>0.7</v>
      </c>
      <c r="Y66" s="135">
        <f>0.9*22/31+0.7*9/31</f>
        <v>0.84193548387096784</v>
      </c>
      <c r="Z66" s="137">
        <f t="shared" si="7"/>
        <v>52.620967741935488</v>
      </c>
    </row>
    <row r="67" spans="2:29" ht="12" hidden="1" customHeight="1">
      <c r="B67" s="103" t="s">
        <v>202</v>
      </c>
      <c r="C67" s="270" t="s">
        <v>202</v>
      </c>
      <c r="D67" s="128">
        <v>95.7</v>
      </c>
      <c r="E67" s="129">
        <v>98</v>
      </c>
      <c r="F67" s="129">
        <v>100</v>
      </c>
      <c r="G67" s="130">
        <v>486466</v>
      </c>
      <c r="H67" s="131">
        <v>171.2</v>
      </c>
      <c r="I67" s="130">
        <f t="shared" si="2"/>
        <v>2841.5070093457944</v>
      </c>
      <c r="J67" s="130">
        <f t="shared" si="6"/>
        <v>2230.7820665654604</v>
      </c>
      <c r="K67" s="133">
        <f t="shared" si="5"/>
        <v>97.610716096031879</v>
      </c>
      <c r="L67" s="130">
        <v>8658</v>
      </c>
      <c r="M67" s="130">
        <v>6730</v>
      </c>
      <c r="N67" s="130">
        <f t="shared" si="3"/>
        <v>7986.1075167995004</v>
      </c>
      <c r="O67" s="132">
        <f t="shared" si="0"/>
        <v>100.15813441064276</v>
      </c>
      <c r="P67" s="130">
        <v>138100</v>
      </c>
      <c r="Q67" s="130">
        <v>38930</v>
      </c>
      <c r="R67" s="130">
        <f t="shared" si="4"/>
        <v>88515</v>
      </c>
      <c r="S67" s="133">
        <f t="shared" si="1"/>
        <v>104.1781910198317</v>
      </c>
      <c r="T67" s="131">
        <v>98.1</v>
      </c>
      <c r="U67" s="133">
        <v>98.487234514177445</v>
      </c>
      <c r="V67" s="133">
        <v>98.399332279459159</v>
      </c>
      <c r="W67" s="158"/>
      <c r="X67" s="134">
        <v>0.7</v>
      </c>
      <c r="Y67" s="135">
        <v>0.7</v>
      </c>
      <c r="Z67" s="137">
        <f t="shared" si="7"/>
        <v>43.749999999999993</v>
      </c>
    </row>
    <row r="68" spans="2:29" ht="12" hidden="1" customHeight="1">
      <c r="B68" s="103" t="s">
        <v>203</v>
      </c>
      <c r="C68" s="270" t="s">
        <v>203</v>
      </c>
      <c r="D68" s="128">
        <v>95.7</v>
      </c>
      <c r="E68" s="129">
        <v>98</v>
      </c>
      <c r="F68" s="129">
        <v>100.2</v>
      </c>
      <c r="G68" s="130">
        <v>496841</v>
      </c>
      <c r="H68" s="131">
        <v>170.1</v>
      </c>
      <c r="I68" s="130">
        <f t="shared" si="2"/>
        <v>2920.8759553204</v>
      </c>
      <c r="J68" s="130">
        <f t="shared" si="6"/>
        <v>2234.2783666769678</v>
      </c>
      <c r="K68" s="133">
        <f t="shared" si="5"/>
        <v>97.763701169153023</v>
      </c>
      <c r="L68" s="130">
        <v>8360</v>
      </c>
      <c r="M68" s="130">
        <v>6617</v>
      </c>
      <c r="N68" s="130">
        <f t="shared" si="3"/>
        <v>7752.5785278949843</v>
      </c>
      <c r="O68" s="132">
        <f t="shared" si="0"/>
        <v>97.229319864848406</v>
      </c>
      <c r="P68" s="130">
        <v>152600</v>
      </c>
      <c r="Q68" s="130">
        <v>38340</v>
      </c>
      <c r="R68" s="130">
        <f t="shared" si="4"/>
        <v>95470</v>
      </c>
      <c r="S68" s="133">
        <f t="shared" si="1"/>
        <v>112.36391455305126</v>
      </c>
      <c r="T68" s="131">
        <v>98.8</v>
      </c>
      <c r="U68" s="133">
        <v>98.641593352799504</v>
      </c>
      <c r="V68" s="133">
        <v>98.677551661714006</v>
      </c>
      <c r="W68" s="116">
        <v>37820</v>
      </c>
      <c r="X68" s="134">
        <v>1.2</v>
      </c>
      <c r="Y68" s="135">
        <f>0.7*17/31+1.2*14/31</f>
        <v>0.9258064516129032</v>
      </c>
      <c r="Z68" s="137">
        <f t="shared" si="7"/>
        <v>57.862903225806448</v>
      </c>
    </row>
    <row r="69" spans="2:29" ht="12" hidden="1" customHeight="1">
      <c r="B69" s="103" t="s">
        <v>204</v>
      </c>
      <c r="C69" s="270" t="s">
        <v>204</v>
      </c>
      <c r="D69" s="128">
        <v>95.8</v>
      </c>
      <c r="E69" s="129">
        <v>98</v>
      </c>
      <c r="F69" s="129">
        <v>100.2</v>
      </c>
      <c r="G69" s="130">
        <v>315092</v>
      </c>
      <c r="H69" s="131">
        <v>155.1</v>
      </c>
      <c r="I69" s="130">
        <f t="shared" si="2"/>
        <v>2031.5409413281754</v>
      </c>
      <c r="J69" s="130">
        <f t="shared" si="6"/>
        <v>2235.1476379796527</v>
      </c>
      <c r="K69" s="133">
        <f t="shared" si="5"/>
        <v>97.801737244307347</v>
      </c>
      <c r="L69" s="130">
        <v>8366</v>
      </c>
      <c r="M69" s="130">
        <v>6472</v>
      </c>
      <c r="N69" s="130">
        <f t="shared" si="3"/>
        <v>7705.9562431629956</v>
      </c>
      <c r="O69" s="132">
        <f t="shared" si="0"/>
        <v>96.644604338430213</v>
      </c>
      <c r="P69" s="130">
        <v>170900</v>
      </c>
      <c r="Q69" s="130">
        <v>36390</v>
      </c>
      <c r="R69" s="130">
        <f t="shared" si="4"/>
        <v>103645</v>
      </c>
      <c r="S69" s="133">
        <f t="shared" si="1"/>
        <v>121.98552345083269</v>
      </c>
      <c r="T69" s="131">
        <v>98.7</v>
      </c>
      <c r="U69" s="133">
        <v>98.679970981850374</v>
      </c>
      <c r="V69" s="133">
        <v>98.684517568970335</v>
      </c>
      <c r="W69" s="116">
        <v>37853</v>
      </c>
      <c r="X69" s="134">
        <v>1.1000000000000001</v>
      </c>
      <c r="Y69" s="135">
        <f>1.2*19/31+1.1*12/31</f>
        <v>1.1612903225806452</v>
      </c>
      <c r="Z69" s="137">
        <f t="shared" si="7"/>
        <v>72.58064516129032</v>
      </c>
    </row>
    <row r="70" spans="2:29" ht="12" hidden="1" customHeight="1">
      <c r="B70" s="103" t="s">
        <v>206</v>
      </c>
      <c r="C70" s="270" t="s">
        <v>206</v>
      </c>
      <c r="D70" s="128">
        <v>95.8</v>
      </c>
      <c r="E70" s="129">
        <v>97.9</v>
      </c>
      <c r="F70" s="129">
        <v>100.1</v>
      </c>
      <c r="G70" s="130">
        <v>302347</v>
      </c>
      <c r="H70" s="131">
        <v>166</v>
      </c>
      <c r="I70" s="130">
        <f t="shared" si="2"/>
        <v>1821.367469879518</v>
      </c>
      <c r="J70" s="130">
        <f t="shared" si="6"/>
        <v>2235.4434119847642</v>
      </c>
      <c r="K70" s="133">
        <f t="shared" si="5"/>
        <v>97.814679213347816</v>
      </c>
      <c r="L70" s="130">
        <v>8641</v>
      </c>
      <c r="M70" s="130">
        <v>6506</v>
      </c>
      <c r="N70" s="130">
        <f t="shared" si="3"/>
        <v>7896.9696827629323</v>
      </c>
      <c r="O70" s="132">
        <f t="shared" si="0"/>
        <v>99.040208168887617</v>
      </c>
      <c r="P70" s="130">
        <v>163600</v>
      </c>
      <c r="Q70" s="130">
        <v>34920</v>
      </c>
      <c r="R70" s="130">
        <f t="shared" si="4"/>
        <v>99260</v>
      </c>
      <c r="S70" s="133">
        <f t="shared" si="1"/>
        <v>116.82457482492792</v>
      </c>
      <c r="T70" s="131">
        <v>97.5</v>
      </c>
      <c r="U70" s="133">
        <v>98.693029166350428</v>
      </c>
      <c r="V70" s="133">
        <v>98.42221154558888</v>
      </c>
      <c r="W70" s="116">
        <v>37883</v>
      </c>
      <c r="X70" s="134">
        <v>1.7</v>
      </c>
      <c r="Y70" s="135">
        <f>1.1*18/30+1.7*12/30</f>
        <v>1.3399999999999999</v>
      </c>
      <c r="Z70" s="137">
        <f t="shared" si="7"/>
        <v>83.749999999999986</v>
      </c>
    </row>
    <row r="71" spans="2:29" ht="12" hidden="1" customHeight="1">
      <c r="B71" s="103" t="s">
        <v>207</v>
      </c>
      <c r="C71" s="270" t="s">
        <v>207</v>
      </c>
      <c r="D71" s="128">
        <v>96.1</v>
      </c>
      <c r="E71" s="129">
        <v>97.9</v>
      </c>
      <c r="F71" s="129">
        <v>100.1</v>
      </c>
      <c r="G71" s="130">
        <v>303964</v>
      </c>
      <c r="H71" s="131">
        <v>168.6</v>
      </c>
      <c r="I71" s="130">
        <f t="shared" si="2"/>
        <v>1802.8706998813761</v>
      </c>
      <c r="J71" s="130">
        <f t="shared" si="6"/>
        <v>2234.2027258099283</v>
      </c>
      <c r="K71" s="133">
        <f t="shared" si="5"/>
        <v>97.76039140648794</v>
      </c>
      <c r="L71" s="130">
        <v>8729</v>
      </c>
      <c r="M71" s="130">
        <v>6437</v>
      </c>
      <c r="N71" s="130">
        <f t="shared" si="3"/>
        <v>7930.2564463197396</v>
      </c>
      <c r="O71" s="132">
        <f t="shared" si="0"/>
        <v>99.457675643674904</v>
      </c>
      <c r="P71" s="130">
        <v>143700</v>
      </c>
      <c r="Q71" s="130">
        <v>33490</v>
      </c>
      <c r="R71" s="130">
        <f t="shared" si="4"/>
        <v>88595</v>
      </c>
      <c r="S71" s="133">
        <f t="shared" si="1"/>
        <v>104.27234743718002</v>
      </c>
      <c r="T71" s="131">
        <v>97.5</v>
      </c>
      <c r="U71" s="133">
        <v>98.638253869340943</v>
      </c>
      <c r="V71" s="133">
        <v>98.37987024100056</v>
      </c>
      <c r="W71" s="116">
        <v>37915</v>
      </c>
      <c r="X71" s="134">
        <v>1.5</v>
      </c>
      <c r="Y71" s="135">
        <f>1.7*20/31+1.5*11/31</f>
        <v>1.629032258064516</v>
      </c>
      <c r="Z71" s="137">
        <f t="shared" si="7"/>
        <v>101.81451612903226</v>
      </c>
    </row>
    <row r="72" spans="2:29" ht="12" hidden="1" customHeight="1">
      <c r="B72" s="103" t="s">
        <v>208</v>
      </c>
      <c r="C72" s="270" t="s">
        <v>208</v>
      </c>
      <c r="D72" s="128">
        <v>96</v>
      </c>
      <c r="E72" s="129">
        <v>97.9</v>
      </c>
      <c r="F72" s="129">
        <v>100</v>
      </c>
      <c r="G72" s="130">
        <v>316240</v>
      </c>
      <c r="H72" s="129">
        <v>170.3</v>
      </c>
      <c r="I72" s="130">
        <f t="shared" si="2"/>
        <v>1856.9583088667057</v>
      </c>
      <c r="J72" s="130">
        <f t="shared" si="6"/>
        <v>2236.6271650644303</v>
      </c>
      <c r="K72" s="133">
        <f t="shared" si="5"/>
        <v>97.86647583997437</v>
      </c>
      <c r="L72" s="130">
        <v>8511</v>
      </c>
      <c r="M72" s="130">
        <v>6431</v>
      </c>
      <c r="N72" s="130">
        <f t="shared" si="3"/>
        <v>7786.1367401156431</v>
      </c>
      <c r="O72" s="132">
        <f t="shared" si="0"/>
        <v>97.650191725527364</v>
      </c>
      <c r="P72" s="130">
        <v>135300</v>
      </c>
      <c r="Q72" s="130">
        <v>36240</v>
      </c>
      <c r="R72" s="130">
        <f t="shared" si="4"/>
        <v>85770</v>
      </c>
      <c r="S72" s="133">
        <f t="shared" si="1"/>
        <v>100.94744894956746</v>
      </c>
      <c r="T72" s="131">
        <v>97.5</v>
      </c>
      <c r="U72" s="133">
        <v>98.74529091298686</v>
      </c>
      <c r="V72" s="133">
        <v>98.462609875738849</v>
      </c>
      <c r="W72" s="116">
        <v>37946</v>
      </c>
      <c r="X72" s="134">
        <v>1.7</v>
      </c>
      <c r="Y72" s="135">
        <f>1.5*20/30+1.7*10/30</f>
        <v>1.5666666666666667</v>
      </c>
      <c r="Z72" s="137">
        <f t="shared" si="7"/>
        <v>97.916666666666657</v>
      </c>
    </row>
    <row r="73" spans="2:29" ht="12" hidden="1" customHeight="1">
      <c r="B73" s="105" t="s">
        <v>209</v>
      </c>
      <c r="C73" s="271" t="s">
        <v>209</v>
      </c>
      <c r="D73" s="128">
        <v>95.9</v>
      </c>
      <c r="E73" s="129">
        <v>97.9</v>
      </c>
      <c r="F73" s="129">
        <v>100</v>
      </c>
      <c r="G73" s="130">
        <v>693237</v>
      </c>
      <c r="H73" s="129">
        <v>167.4</v>
      </c>
      <c r="I73" s="130">
        <f t="shared" si="2"/>
        <v>4141.2007168458777</v>
      </c>
      <c r="J73" s="130">
        <f t="shared" si="6"/>
        <v>2242.4146379443305</v>
      </c>
      <c r="K73" s="133">
        <f t="shared" si="5"/>
        <v>98.119714101416548</v>
      </c>
      <c r="L73" s="130">
        <v>8801</v>
      </c>
      <c r="M73" s="130">
        <v>6445</v>
      </c>
      <c r="N73" s="130">
        <f t="shared" si="3"/>
        <v>7979.9529614002186</v>
      </c>
      <c r="O73" s="132">
        <f t="shared" si="0"/>
        <v>100.08094677127998</v>
      </c>
      <c r="P73" s="130">
        <v>137600</v>
      </c>
      <c r="Q73" s="130">
        <v>36180</v>
      </c>
      <c r="R73" s="130">
        <f t="shared" si="4"/>
        <v>86890</v>
      </c>
      <c r="S73" s="133">
        <f t="shared" si="1"/>
        <v>102.26563879244395</v>
      </c>
      <c r="T73" s="131">
        <v>96.8</v>
      </c>
      <c r="U73" s="133">
        <v>99.000803187049897</v>
      </c>
      <c r="V73" s="133">
        <v>98.501220863589566</v>
      </c>
      <c r="W73" s="116">
        <v>37973</v>
      </c>
      <c r="X73" s="134">
        <v>1.6</v>
      </c>
      <c r="Y73" s="135">
        <f>1.7*17/31+1.6*14/31</f>
        <v>1.6548387096774193</v>
      </c>
      <c r="Z73" s="137">
        <f t="shared" si="7"/>
        <v>103.4274193548387</v>
      </c>
    </row>
    <row r="74" spans="2:29" ht="12" hidden="1" customHeight="1">
      <c r="B74" s="104" t="s">
        <v>214</v>
      </c>
      <c r="C74" s="272" t="s">
        <v>215</v>
      </c>
      <c r="D74" s="138">
        <v>95.6</v>
      </c>
      <c r="E74" s="139">
        <v>97.9</v>
      </c>
      <c r="F74" s="139">
        <v>100.5</v>
      </c>
      <c r="G74" s="140">
        <v>312933</v>
      </c>
      <c r="H74" s="141">
        <v>148.4</v>
      </c>
      <c r="I74" s="140">
        <f t="shared" si="2"/>
        <v>2108.7129380053907</v>
      </c>
      <c r="J74" s="140">
        <f t="shared" si="6"/>
        <v>2242.2794338846611</v>
      </c>
      <c r="K74" s="142">
        <f t="shared" si="5"/>
        <v>98.113798075247416</v>
      </c>
      <c r="L74" s="140">
        <v>8830</v>
      </c>
      <c r="M74" s="140">
        <v>6451</v>
      </c>
      <c r="N74" s="140">
        <f t="shared" si="3"/>
        <v>8000.9376465072673</v>
      </c>
      <c r="O74" s="143">
        <f t="shared" si="0"/>
        <v>100.34412716386744</v>
      </c>
      <c r="P74" s="140">
        <v>144300</v>
      </c>
      <c r="Q74" s="140">
        <v>38220</v>
      </c>
      <c r="R74" s="140">
        <f t="shared" si="4"/>
        <v>91260</v>
      </c>
      <c r="S74" s="142">
        <f t="shared" si="1"/>
        <v>107.40893309009591</v>
      </c>
      <c r="T74" s="141">
        <v>97</v>
      </c>
      <c r="U74" s="142">
        <v>98.994834036530222</v>
      </c>
      <c r="V74" s="142">
        <v>98.542006710237871</v>
      </c>
      <c r="W74" s="144">
        <v>38012</v>
      </c>
      <c r="X74" s="145">
        <v>1.5</v>
      </c>
      <c r="Y74" s="146">
        <f>1.6*25/31+1.5*6/31</f>
        <v>1.5806451612903225</v>
      </c>
      <c r="Z74" s="147">
        <f t="shared" si="7"/>
        <v>98.790322580645153</v>
      </c>
    </row>
    <row r="75" spans="2:29" ht="12" hidden="1" customHeight="1">
      <c r="B75" s="103" t="s">
        <v>198</v>
      </c>
      <c r="C75" s="270" t="s">
        <v>198</v>
      </c>
      <c r="D75" s="128">
        <v>95.5</v>
      </c>
      <c r="E75" s="129">
        <v>97.8</v>
      </c>
      <c r="F75" s="129">
        <v>100.5</v>
      </c>
      <c r="G75" s="130">
        <v>307484</v>
      </c>
      <c r="H75" s="131">
        <v>168.5</v>
      </c>
      <c r="I75" s="130">
        <f t="shared" si="2"/>
        <v>1824.8308605341247</v>
      </c>
      <c r="J75" s="130">
        <f t="shared" si="6"/>
        <v>2244.4517753656087</v>
      </c>
      <c r="K75" s="133">
        <f t="shared" si="5"/>
        <v>98.208851648941803</v>
      </c>
      <c r="L75" s="130">
        <v>8886</v>
      </c>
      <c r="M75" s="130">
        <v>6412</v>
      </c>
      <c r="N75" s="130">
        <f t="shared" si="3"/>
        <v>8023.8309110798573</v>
      </c>
      <c r="O75" s="132">
        <f t="shared" si="0"/>
        <v>100.63124409352766</v>
      </c>
      <c r="P75" s="130">
        <v>146800</v>
      </c>
      <c r="Q75" s="130">
        <v>41660</v>
      </c>
      <c r="R75" s="130">
        <f t="shared" si="4"/>
        <v>94230</v>
      </c>
      <c r="S75" s="133">
        <f t="shared" si="1"/>
        <v>110.90449008415231</v>
      </c>
      <c r="T75" s="131">
        <v>97</v>
      </c>
      <c r="U75" s="133">
        <v>99.090741166180209</v>
      </c>
      <c r="V75" s="133">
        <v>98.61614292145731</v>
      </c>
      <c r="W75" s="116">
        <v>38036</v>
      </c>
      <c r="X75" s="134">
        <v>1.4</v>
      </c>
      <c r="Y75" s="135">
        <f>1.5*18/29+1.4*11/29</f>
        <v>1.4620689655172412</v>
      </c>
      <c r="Z75" s="137">
        <f t="shared" si="7"/>
        <v>91.379310344827573</v>
      </c>
    </row>
    <row r="76" spans="2:29" ht="12" hidden="1" customHeight="1">
      <c r="B76" s="103" t="s">
        <v>199</v>
      </c>
      <c r="C76" s="270" t="s">
        <v>199</v>
      </c>
      <c r="D76" s="128">
        <v>95.6</v>
      </c>
      <c r="E76" s="129">
        <v>97.9</v>
      </c>
      <c r="F76" s="129">
        <v>100.6</v>
      </c>
      <c r="G76" s="130">
        <v>314238</v>
      </c>
      <c r="H76" s="131">
        <v>170</v>
      </c>
      <c r="I76" s="130">
        <f t="shared" si="2"/>
        <v>1848.4588235294118</v>
      </c>
      <c r="J76" s="130">
        <f t="shared" si="6"/>
        <v>2243.2765711172419</v>
      </c>
      <c r="K76" s="133">
        <f t="shared" si="5"/>
        <v>98.157429087338215</v>
      </c>
      <c r="L76" s="130">
        <v>8962</v>
      </c>
      <c r="M76" s="130">
        <v>6539</v>
      </c>
      <c r="N76" s="130">
        <f t="shared" si="3"/>
        <v>8117.6040006250978</v>
      </c>
      <c r="O76" s="132">
        <f t="shared" si="0"/>
        <v>101.80730360525052</v>
      </c>
      <c r="P76" s="130">
        <v>152600</v>
      </c>
      <c r="Q76" s="130">
        <v>41060</v>
      </c>
      <c r="R76" s="130">
        <f t="shared" si="4"/>
        <v>96830</v>
      </c>
      <c r="S76" s="133">
        <f t="shared" si="1"/>
        <v>113.9645736479727</v>
      </c>
      <c r="T76" s="131">
        <v>97</v>
      </c>
      <c r="U76" s="133">
        <v>99.038856843571693</v>
      </c>
      <c r="V76" s="133">
        <v>98.576036340080918</v>
      </c>
      <c r="W76" s="116">
        <v>38064</v>
      </c>
      <c r="X76" s="134">
        <v>1.6</v>
      </c>
      <c r="Y76" s="135">
        <f>1.4*17/31+1.6*14/31</f>
        <v>1.4903225806451612</v>
      </c>
      <c r="Z76" s="137">
        <f t="shared" si="7"/>
        <v>93.145161290322577</v>
      </c>
    </row>
    <row r="77" spans="2:29" ht="12" hidden="1" customHeight="1">
      <c r="B77" s="103" t="s">
        <v>200</v>
      </c>
      <c r="C77" s="270" t="s">
        <v>200</v>
      </c>
      <c r="D77" s="128">
        <v>95.7</v>
      </c>
      <c r="E77" s="129">
        <v>98</v>
      </c>
      <c r="F77" s="129">
        <v>101.3</v>
      </c>
      <c r="G77" s="130">
        <v>314031</v>
      </c>
      <c r="H77" s="131">
        <v>170.3</v>
      </c>
      <c r="I77" s="130">
        <f t="shared" si="2"/>
        <v>1843.9870816206692</v>
      </c>
      <c r="J77" s="130">
        <f t="shared" si="6"/>
        <v>2244.9684509348376</v>
      </c>
      <c r="K77" s="133">
        <f t="shared" si="5"/>
        <v>98.231459447819901</v>
      </c>
      <c r="L77" s="130">
        <v>8595</v>
      </c>
      <c r="M77" s="130">
        <v>6533</v>
      </c>
      <c r="N77" s="130">
        <f t="shared" si="3"/>
        <v>7876.4095952492589</v>
      </c>
      <c r="O77" s="132">
        <f t="shared" si="0"/>
        <v>98.782352886529196</v>
      </c>
      <c r="P77" s="130">
        <v>167700</v>
      </c>
      <c r="Q77" s="130">
        <v>43030</v>
      </c>
      <c r="R77" s="130">
        <f t="shared" si="4"/>
        <v>105365</v>
      </c>
      <c r="S77" s="133">
        <f t="shared" si="1"/>
        <v>124.00988642382158</v>
      </c>
      <c r="T77" s="131">
        <v>97.4</v>
      </c>
      <c r="U77" s="133">
        <v>99.113551977113772</v>
      </c>
      <c r="V77" s="133">
        <v>98.724575678308952</v>
      </c>
      <c r="W77" s="116">
        <v>38098</v>
      </c>
      <c r="X77" s="134">
        <v>1.7</v>
      </c>
      <c r="Y77" s="135">
        <f>1.6*20/30+1.7*10/30</f>
        <v>1.6333333333333333</v>
      </c>
      <c r="Z77" s="137">
        <f t="shared" si="7"/>
        <v>102.08333333333333</v>
      </c>
    </row>
    <row r="78" spans="2:29" ht="12" hidden="1" customHeight="1">
      <c r="B78" s="103" t="s">
        <v>220</v>
      </c>
      <c r="C78" s="270" t="s">
        <v>220</v>
      </c>
      <c r="D78" s="128">
        <v>95.5</v>
      </c>
      <c r="E78" s="129">
        <v>97.9</v>
      </c>
      <c r="F78" s="129">
        <v>101.4</v>
      </c>
      <c r="G78" s="130">
        <v>307692</v>
      </c>
      <c r="H78" s="131">
        <v>154.5</v>
      </c>
      <c r="I78" s="130">
        <f t="shared" si="2"/>
        <v>1991.5339805825242</v>
      </c>
      <c r="J78" s="130">
        <f t="shared" si="6"/>
        <v>2252.8203988116643</v>
      </c>
      <c r="K78" s="133">
        <f t="shared" si="5"/>
        <v>98.575031447296197</v>
      </c>
      <c r="L78" s="130">
        <v>8594</v>
      </c>
      <c r="M78" s="130">
        <v>6644</v>
      </c>
      <c r="N78" s="130">
        <f t="shared" si="3"/>
        <v>7914.440693858417</v>
      </c>
      <c r="O78" s="132">
        <f t="shared" ref="O78:O84" si="8">N78/$N$85*100</f>
        <v>99.259321657393812</v>
      </c>
      <c r="P78" s="130">
        <v>167300</v>
      </c>
      <c r="Q78" s="130">
        <v>42610</v>
      </c>
      <c r="R78" s="130">
        <f t="shared" si="4"/>
        <v>104955</v>
      </c>
      <c r="S78" s="133">
        <f t="shared" ref="S78:S84" si="9">R78/$R$85*100</f>
        <v>123.52733478491143</v>
      </c>
      <c r="T78" s="131">
        <v>97.2</v>
      </c>
      <c r="U78" s="133">
        <v>99.460209162290411</v>
      </c>
      <c r="V78" s="133">
        <v>98.947141682450493</v>
      </c>
      <c r="W78" s="116"/>
      <c r="X78" s="134">
        <v>1.7</v>
      </c>
      <c r="Y78" s="135">
        <v>1.7</v>
      </c>
      <c r="Z78" s="137">
        <f t="shared" si="7"/>
        <v>106.25</v>
      </c>
    </row>
    <row r="79" spans="2:29" ht="12" hidden="1" customHeight="1">
      <c r="B79" s="103" t="s">
        <v>221</v>
      </c>
      <c r="C79" s="270" t="s">
        <v>221</v>
      </c>
      <c r="D79" s="128">
        <v>95.5</v>
      </c>
      <c r="E79" s="129">
        <v>97.8</v>
      </c>
      <c r="F79" s="129">
        <v>101.6</v>
      </c>
      <c r="G79" s="130">
        <v>499814</v>
      </c>
      <c r="H79" s="131">
        <v>172</v>
      </c>
      <c r="I79" s="130">
        <f t="shared" ref="I79:I142" si="10">G79/H79</f>
        <v>2905.8953488372094</v>
      </c>
      <c r="J79" s="130">
        <f t="shared" si="6"/>
        <v>2258.1860937692823</v>
      </c>
      <c r="K79" s="133">
        <f t="shared" si="5"/>
        <v>98.809814277504415</v>
      </c>
      <c r="L79" s="130">
        <v>8641</v>
      </c>
      <c r="M79" s="130">
        <v>6728</v>
      </c>
      <c r="N79" s="130">
        <f t="shared" ref="N79:N142" si="11">($L$13*L79+$M$13*M79)/100</f>
        <v>7974.3348960775129</v>
      </c>
      <c r="O79" s="132">
        <f t="shared" si="8"/>
        <v>100.01048754686614</v>
      </c>
      <c r="P79" s="130">
        <v>159800</v>
      </c>
      <c r="Q79" s="130">
        <v>44420</v>
      </c>
      <c r="R79" s="130">
        <f t="shared" ref="R79:R142" si="12">AVERAGE(P79:Q79)</f>
        <v>102110</v>
      </c>
      <c r="S79" s="133">
        <f t="shared" si="9"/>
        <v>120.1788971929618</v>
      </c>
      <c r="T79" s="131">
        <v>97</v>
      </c>
      <c r="U79" s="133">
        <v>99.697100280227389</v>
      </c>
      <c r="V79" s="133">
        <v>99.084858516615782</v>
      </c>
      <c r="W79" s="116"/>
      <c r="X79" s="134">
        <v>1.7</v>
      </c>
      <c r="Y79" s="135">
        <v>1.7</v>
      </c>
      <c r="Z79" s="137">
        <f t="shared" si="7"/>
        <v>106.25</v>
      </c>
    </row>
    <row r="80" spans="2:29" ht="12" hidden="1" customHeight="1">
      <c r="B80" s="103" t="s">
        <v>222</v>
      </c>
      <c r="C80" s="270" t="s">
        <v>222</v>
      </c>
      <c r="D80" s="128">
        <v>95.4</v>
      </c>
      <c r="E80" s="129">
        <v>97.8</v>
      </c>
      <c r="F80" s="129">
        <v>102.2</v>
      </c>
      <c r="G80" s="130">
        <v>514743</v>
      </c>
      <c r="H80" s="131">
        <v>171.9</v>
      </c>
      <c r="I80" s="130">
        <f t="shared" si="10"/>
        <v>2994.4328097731236</v>
      </c>
      <c r="J80" s="130">
        <f t="shared" si="6"/>
        <v>2264.3158316403419</v>
      </c>
      <c r="K80" s="133">
        <f t="shared" si="5"/>
        <v>99.07802878041025</v>
      </c>
      <c r="L80" s="130">
        <v>8334</v>
      </c>
      <c r="M80" s="130">
        <v>6592</v>
      </c>
      <c r="N80" s="130">
        <f t="shared" si="11"/>
        <v>7726.9270198468512</v>
      </c>
      <c r="O80" s="132">
        <f t="shared" si="8"/>
        <v>96.907610297889036</v>
      </c>
      <c r="P80" s="130">
        <v>173900</v>
      </c>
      <c r="Q80" s="130">
        <v>41330</v>
      </c>
      <c r="R80" s="130">
        <f t="shared" si="12"/>
        <v>107615</v>
      </c>
      <c r="S80" s="133">
        <f t="shared" si="9"/>
        <v>126.65803566174307</v>
      </c>
      <c r="T80" s="131">
        <v>97.7</v>
      </c>
      <c r="U80" s="133">
        <v>99.967723278442065</v>
      </c>
      <c r="V80" s="133">
        <v>99.452950094235717</v>
      </c>
      <c r="W80" s="116">
        <v>38190</v>
      </c>
      <c r="X80" s="134">
        <v>2</v>
      </c>
      <c r="Y80" s="135">
        <f>1.7*21/31+2*10/31</f>
        <v>1.7967741935483867</v>
      </c>
      <c r="Z80" s="137">
        <f t="shared" si="7"/>
        <v>112.29838709677415</v>
      </c>
      <c r="AA80" s="77"/>
      <c r="AB80" s="77"/>
      <c r="AC80" s="77"/>
    </row>
    <row r="81" spans="2:29" ht="12" hidden="1" customHeight="1">
      <c r="B81" s="103" t="s">
        <v>223</v>
      </c>
      <c r="C81" s="270" t="s">
        <v>223</v>
      </c>
      <c r="D81" s="128">
        <v>95.4</v>
      </c>
      <c r="E81" s="129">
        <v>97.7</v>
      </c>
      <c r="F81" s="129">
        <v>102.3</v>
      </c>
      <c r="G81" s="130">
        <v>327141</v>
      </c>
      <c r="H81" s="131">
        <v>159.4</v>
      </c>
      <c r="I81" s="130">
        <f t="shared" si="10"/>
        <v>2052.32747804266</v>
      </c>
      <c r="J81" s="130">
        <f t="shared" si="6"/>
        <v>2266.0480430332159</v>
      </c>
      <c r="K81" s="133">
        <f t="shared" si="5"/>
        <v>99.153823900436677</v>
      </c>
      <c r="L81" s="130">
        <v>8344</v>
      </c>
      <c r="M81" s="130">
        <v>6467</v>
      </c>
      <c r="N81" s="130">
        <f t="shared" si="11"/>
        <v>7689.8806063447428</v>
      </c>
      <c r="O81" s="132">
        <f t="shared" si="8"/>
        <v>96.442991000544112</v>
      </c>
      <c r="P81" s="130">
        <v>173901</v>
      </c>
      <c r="Q81" s="130">
        <v>41331</v>
      </c>
      <c r="R81" s="130">
        <f t="shared" si="12"/>
        <v>107616</v>
      </c>
      <c r="S81" s="133">
        <f t="shared" si="9"/>
        <v>126.65921261695992</v>
      </c>
      <c r="T81" s="131">
        <v>97.7</v>
      </c>
      <c r="U81" s="133">
        <v>100.04419901860291</v>
      </c>
      <c r="V81" s="133">
        <v>99.51206584138005</v>
      </c>
      <c r="W81" s="116"/>
      <c r="X81" s="134">
        <v>2</v>
      </c>
      <c r="Y81" s="135">
        <v>2</v>
      </c>
      <c r="Z81" s="137">
        <f t="shared" si="7"/>
        <v>125</v>
      </c>
      <c r="AA81" s="77"/>
      <c r="AB81" s="77"/>
      <c r="AC81" s="77"/>
    </row>
    <row r="82" spans="2:29" ht="12" hidden="1" customHeight="1">
      <c r="B82" s="103" t="s">
        <v>224</v>
      </c>
      <c r="C82" s="270" t="s">
        <v>224</v>
      </c>
      <c r="D82" s="128">
        <v>95.3</v>
      </c>
      <c r="E82" s="129">
        <v>97.7</v>
      </c>
      <c r="F82" s="129">
        <v>102.6</v>
      </c>
      <c r="G82" s="130">
        <v>309694</v>
      </c>
      <c r="H82" s="131">
        <v>168</v>
      </c>
      <c r="I82" s="130">
        <f t="shared" si="10"/>
        <v>1843.4166666666667</v>
      </c>
      <c r="J82" s="130">
        <f t="shared" si="6"/>
        <v>2267.8854760988115</v>
      </c>
      <c r="K82" s="133">
        <f t="shared" si="5"/>
        <v>99.234223129029829</v>
      </c>
      <c r="L82" s="130">
        <v>8618</v>
      </c>
      <c r="M82" s="130">
        <v>6502</v>
      </c>
      <c r="N82" s="130">
        <f t="shared" si="11"/>
        <v>7880.5910298484159</v>
      </c>
      <c r="O82" s="132">
        <f t="shared" si="8"/>
        <v>98.834794540705616</v>
      </c>
      <c r="P82" s="130">
        <v>171100</v>
      </c>
      <c r="Q82" s="130">
        <v>32250</v>
      </c>
      <c r="R82" s="130">
        <f t="shared" si="12"/>
        <v>101675</v>
      </c>
      <c r="S82" s="133">
        <f t="shared" si="9"/>
        <v>119.66692167363031</v>
      </c>
      <c r="T82" s="131">
        <v>96.5</v>
      </c>
      <c r="U82" s="133">
        <v>100.12532021100789</v>
      </c>
      <c r="V82" s="133">
        <v>99.302372523109099</v>
      </c>
      <c r="W82" s="116">
        <v>38251</v>
      </c>
      <c r="X82" s="134">
        <v>1.7</v>
      </c>
      <c r="Y82" s="135">
        <f>2*20/30+1.7*10/30</f>
        <v>1.9</v>
      </c>
      <c r="Z82" s="137">
        <f t="shared" si="7"/>
        <v>118.74999999999997</v>
      </c>
      <c r="AA82" s="77"/>
      <c r="AB82" s="77"/>
      <c r="AC82" s="77"/>
    </row>
    <row r="83" spans="2:29" ht="12" hidden="1" customHeight="1">
      <c r="B83" s="103" t="s">
        <v>225</v>
      </c>
      <c r="C83" s="270" t="s">
        <v>225</v>
      </c>
      <c r="D83" s="128">
        <v>95.3</v>
      </c>
      <c r="E83" s="129">
        <v>97.7</v>
      </c>
      <c r="F83" s="129">
        <v>101.9</v>
      </c>
      <c r="G83" s="130">
        <v>308827</v>
      </c>
      <c r="H83" s="131">
        <v>166.4</v>
      </c>
      <c r="I83" s="130">
        <f t="shared" si="10"/>
        <v>1855.9314903846152</v>
      </c>
      <c r="J83" s="130">
        <f t="shared" si="6"/>
        <v>2272.3072086407483</v>
      </c>
      <c r="K83" s="133">
        <f t="shared" si="5"/>
        <v>99.427701679118812</v>
      </c>
      <c r="L83" s="130">
        <v>8715</v>
      </c>
      <c r="M83" s="130">
        <v>6459</v>
      </c>
      <c r="N83" s="130">
        <f t="shared" si="11"/>
        <v>7928.8021565869685</v>
      </c>
      <c r="O83" s="132">
        <f t="shared" si="8"/>
        <v>99.439436602161805</v>
      </c>
      <c r="P83" s="130">
        <v>154700</v>
      </c>
      <c r="Q83" s="130">
        <v>31050</v>
      </c>
      <c r="R83" s="130">
        <f t="shared" si="12"/>
        <v>92875</v>
      </c>
      <c r="S83" s="133">
        <f t="shared" si="9"/>
        <v>109.30971576531515</v>
      </c>
      <c r="T83" s="131">
        <v>96.4</v>
      </c>
      <c r="U83" s="133">
        <v>100.32053614731275</v>
      </c>
      <c r="V83" s="133">
        <v>99.430574441872764</v>
      </c>
      <c r="W83" s="116">
        <v>38281</v>
      </c>
      <c r="X83" s="134">
        <v>1.8</v>
      </c>
      <c r="Y83" s="135">
        <f>1.7*20/31+1.8*11/31</f>
        <v>1.7354838709677418</v>
      </c>
      <c r="Z83" s="137">
        <f t="shared" si="7"/>
        <v>108.46774193548386</v>
      </c>
      <c r="AA83" s="77"/>
      <c r="AB83" s="77"/>
      <c r="AC83" s="77"/>
    </row>
    <row r="84" spans="2:29" ht="12" hidden="1" customHeight="1">
      <c r="B84" s="103" t="s">
        <v>226</v>
      </c>
      <c r="C84" s="270" t="s">
        <v>226</v>
      </c>
      <c r="D84" s="128">
        <v>95.4</v>
      </c>
      <c r="E84" s="129">
        <v>97.7</v>
      </c>
      <c r="F84" s="129">
        <v>101.9</v>
      </c>
      <c r="G84" s="130">
        <v>330640</v>
      </c>
      <c r="H84" s="131">
        <v>171.8</v>
      </c>
      <c r="I84" s="130">
        <f t="shared" si="10"/>
        <v>1924.5634458672873</v>
      </c>
      <c r="J84" s="130">
        <f t="shared" si="6"/>
        <v>2277.9409700574633</v>
      </c>
      <c r="K84" s="133">
        <f t="shared" si="5"/>
        <v>99.674214099333128</v>
      </c>
      <c r="L84" s="130">
        <v>8486</v>
      </c>
      <c r="M84" s="130">
        <v>6452</v>
      </c>
      <c r="N84" s="130">
        <f t="shared" si="11"/>
        <v>7777.1673699015473</v>
      </c>
      <c r="O84" s="132">
        <f t="shared" si="8"/>
        <v>97.537701956814331</v>
      </c>
      <c r="P84" s="130">
        <v>140100</v>
      </c>
      <c r="Q84" s="130">
        <v>33160</v>
      </c>
      <c r="R84" s="130">
        <f t="shared" si="12"/>
        <v>86630</v>
      </c>
      <c r="S84" s="133">
        <f t="shared" si="9"/>
        <v>101.95963043606191</v>
      </c>
      <c r="T84" s="131">
        <v>96.3</v>
      </c>
      <c r="U84" s="133">
        <v>100.5692621838723</v>
      </c>
      <c r="V84" s="133">
        <v>99.600139668133295</v>
      </c>
      <c r="W84" s="116">
        <v>38674</v>
      </c>
      <c r="X84" s="134">
        <v>1.7</v>
      </c>
      <c r="Y84" s="135">
        <f>1.8*17/30+1.7*13/30</f>
        <v>1.7566666666666666</v>
      </c>
      <c r="Z84" s="137">
        <f t="shared" si="7"/>
        <v>109.79166666666667</v>
      </c>
      <c r="AA84" s="77"/>
      <c r="AB84" s="77"/>
      <c r="AC84" s="77"/>
    </row>
    <row r="85" spans="2:29" ht="12" hidden="1" customHeight="1">
      <c r="B85" s="105" t="s">
        <v>227</v>
      </c>
      <c r="C85" s="271" t="s">
        <v>227</v>
      </c>
      <c r="D85" s="148">
        <v>95.4</v>
      </c>
      <c r="E85" s="149">
        <v>97.7</v>
      </c>
      <c r="F85" s="149">
        <v>101.9</v>
      </c>
      <c r="G85" s="150">
        <v>712424</v>
      </c>
      <c r="H85" s="151">
        <v>168.4</v>
      </c>
      <c r="I85" s="150">
        <f t="shared" si="10"/>
        <v>4230.5463182897856</v>
      </c>
      <c r="J85" s="150">
        <f t="shared" si="6"/>
        <v>2285.3864368444556</v>
      </c>
      <c r="K85" s="152">
        <f>J85/$J$85*100</f>
        <v>100</v>
      </c>
      <c r="L85" s="150">
        <v>8782</v>
      </c>
      <c r="M85" s="150">
        <v>6462</v>
      </c>
      <c r="N85" s="150">
        <f t="shared" si="11"/>
        <v>7973.4986716674503</v>
      </c>
      <c r="O85" s="153">
        <f>N85/$N$85*100</f>
        <v>100</v>
      </c>
      <c r="P85" s="150">
        <v>138200</v>
      </c>
      <c r="Q85" s="150">
        <v>31730</v>
      </c>
      <c r="R85" s="150">
        <f t="shared" si="12"/>
        <v>84965</v>
      </c>
      <c r="S85" s="152">
        <f>R85/$R$85*100</f>
        <v>100</v>
      </c>
      <c r="T85" s="151">
        <v>96.5</v>
      </c>
      <c r="U85" s="152">
        <v>100.89797355577561</v>
      </c>
      <c r="V85" s="152">
        <v>99.899633558614539</v>
      </c>
      <c r="W85" s="154">
        <v>38706</v>
      </c>
      <c r="X85" s="155">
        <v>1.6</v>
      </c>
      <c r="Y85" s="156">
        <f>1.7*19/31+1.6*12/31</f>
        <v>1.661290322580645</v>
      </c>
      <c r="Z85" s="157">
        <f t="shared" si="7"/>
        <v>103.83064516129031</v>
      </c>
      <c r="AA85" s="77"/>
      <c r="AB85" s="77"/>
      <c r="AC85" s="77"/>
    </row>
    <row r="86" spans="2:29" ht="12" hidden="1" customHeight="1">
      <c r="B86" s="104" t="s">
        <v>216</v>
      </c>
      <c r="C86" s="272" t="s">
        <v>217</v>
      </c>
      <c r="D86" s="128">
        <v>99.9</v>
      </c>
      <c r="E86" s="159">
        <v>100.5</v>
      </c>
      <c r="F86" s="129">
        <v>98.9</v>
      </c>
      <c r="G86" s="130">
        <v>311716</v>
      </c>
      <c r="H86" s="129">
        <v>149.19999999999999</v>
      </c>
      <c r="I86" s="130">
        <f t="shared" si="10"/>
        <v>2089.2493297587134</v>
      </c>
      <c r="J86" s="130">
        <f t="shared" si="6"/>
        <v>2283.7644694905662</v>
      </c>
      <c r="K86" s="133">
        <f t="shared" ref="K86:K149" si="13">J86/$J$85*100</f>
        <v>99.929028748585338</v>
      </c>
      <c r="L86" s="130">
        <v>8804</v>
      </c>
      <c r="M86" s="130">
        <v>6471</v>
      </c>
      <c r="N86" s="130">
        <f t="shared" si="11"/>
        <v>7990.9682762931716</v>
      </c>
      <c r="O86" s="132">
        <f t="shared" ref="O86:O149" si="14">N86/$N$85*100</f>
        <v>100.21909584920101</v>
      </c>
      <c r="P86" s="130">
        <v>177400</v>
      </c>
      <c r="Q86" s="130">
        <v>29720</v>
      </c>
      <c r="R86" s="130">
        <f t="shared" si="12"/>
        <v>103560</v>
      </c>
      <c r="S86" s="133">
        <f t="shared" ref="S86:S149" si="15">R86/$R$85*100</f>
        <v>121.8854822574001</v>
      </c>
      <c r="T86" s="159">
        <v>99.3</v>
      </c>
      <c r="U86" s="133">
        <v>99.929028748585338</v>
      </c>
      <c r="V86" s="133">
        <v>99.786239222656462</v>
      </c>
      <c r="W86" s="116"/>
      <c r="X86" s="134">
        <v>1.6</v>
      </c>
      <c r="Y86" s="160">
        <v>1.6</v>
      </c>
      <c r="Z86" s="137">
        <f>Y86/$Y$85*100</f>
        <v>96.3106796116505</v>
      </c>
    </row>
    <row r="87" spans="2:29" ht="12" hidden="1" customHeight="1">
      <c r="B87" s="103" t="s">
        <v>218</v>
      </c>
      <c r="C87" s="270" t="s">
        <v>218</v>
      </c>
      <c r="D87" s="128">
        <v>100</v>
      </c>
      <c r="E87" s="159">
        <v>100.2</v>
      </c>
      <c r="F87" s="129">
        <v>98.8</v>
      </c>
      <c r="G87" s="130">
        <v>305706</v>
      </c>
      <c r="H87" s="129">
        <v>165.7</v>
      </c>
      <c r="I87" s="130">
        <f t="shared" si="10"/>
        <v>1844.9366324683162</v>
      </c>
      <c r="J87" s="130">
        <f t="shared" si="6"/>
        <v>2285.4399504850817</v>
      </c>
      <c r="K87" s="133">
        <f t="shared" si="13"/>
        <v>100.0023415576361</v>
      </c>
      <c r="L87" s="130">
        <v>8859</v>
      </c>
      <c r="M87" s="130">
        <v>6411</v>
      </c>
      <c r="N87" s="130">
        <f t="shared" si="11"/>
        <v>8005.891701828411</v>
      </c>
      <c r="O87" s="132">
        <f t="shared" si="14"/>
        <v>100.4062586763332</v>
      </c>
      <c r="P87" s="130">
        <v>175900</v>
      </c>
      <c r="Q87" s="130">
        <v>34190</v>
      </c>
      <c r="R87" s="130">
        <f t="shared" si="12"/>
        <v>105045</v>
      </c>
      <c r="S87" s="133">
        <f t="shared" si="15"/>
        <v>123.63326075442829</v>
      </c>
      <c r="T87" s="159">
        <v>99.4</v>
      </c>
      <c r="U87" s="133">
        <v>100.0023415576361</v>
      </c>
      <c r="V87" s="133">
        <v>99.8656100240527</v>
      </c>
      <c r="W87" s="116"/>
      <c r="X87" s="134">
        <v>1.6</v>
      </c>
      <c r="Y87" s="160">
        <v>1.6</v>
      </c>
      <c r="Z87" s="137">
        <f t="shared" ref="Z87:Z150" si="16">Y87/$Y$85*100</f>
        <v>96.3106796116505</v>
      </c>
    </row>
    <row r="88" spans="2:29" ht="12" hidden="1" customHeight="1">
      <c r="B88" s="103" t="s">
        <v>219</v>
      </c>
      <c r="C88" s="270" t="s">
        <v>219</v>
      </c>
      <c r="D88" s="128">
        <v>99.9</v>
      </c>
      <c r="E88" s="159">
        <v>100.1</v>
      </c>
      <c r="F88" s="129">
        <v>98.9</v>
      </c>
      <c r="G88" s="130">
        <v>315411</v>
      </c>
      <c r="H88" s="129">
        <v>166.5</v>
      </c>
      <c r="I88" s="130">
        <f t="shared" si="10"/>
        <v>1894.3603603603603</v>
      </c>
      <c r="J88" s="130">
        <f t="shared" si="6"/>
        <v>2289.2650785543278</v>
      </c>
      <c r="K88" s="133">
        <f t="shared" si="13"/>
        <v>100.16971491767615</v>
      </c>
      <c r="L88" s="130">
        <v>8973</v>
      </c>
      <c r="M88" s="130">
        <v>6519</v>
      </c>
      <c r="N88" s="130">
        <f t="shared" si="11"/>
        <v>8117.8007501172069</v>
      </c>
      <c r="O88" s="132">
        <f t="shared" si="14"/>
        <v>101.8097711480471</v>
      </c>
      <c r="P88" s="130">
        <v>182600</v>
      </c>
      <c r="Q88" s="130">
        <v>36740</v>
      </c>
      <c r="R88" s="130">
        <f t="shared" si="12"/>
        <v>109670</v>
      </c>
      <c r="S88" s="133">
        <f t="shared" si="15"/>
        <v>129.07667863237805</v>
      </c>
      <c r="T88" s="159">
        <v>99.4</v>
      </c>
      <c r="U88" s="133">
        <v>100.16971491767615</v>
      </c>
      <c r="V88" s="133">
        <v>99.994989631363666</v>
      </c>
      <c r="W88" s="116"/>
      <c r="X88" s="134">
        <v>1.6</v>
      </c>
      <c r="Y88" s="160">
        <v>1.6</v>
      </c>
      <c r="Z88" s="137">
        <f t="shared" si="16"/>
        <v>96.3106796116505</v>
      </c>
    </row>
    <row r="89" spans="2:29" ht="12" hidden="1" customHeight="1">
      <c r="B89" s="103" t="s">
        <v>200</v>
      </c>
      <c r="C89" s="270" t="s">
        <v>200</v>
      </c>
      <c r="D89" s="128">
        <v>100</v>
      </c>
      <c r="E89" s="159">
        <v>100.1</v>
      </c>
      <c r="F89" s="129">
        <v>99.6</v>
      </c>
      <c r="G89" s="130">
        <v>312671</v>
      </c>
      <c r="H89" s="129">
        <v>173.6</v>
      </c>
      <c r="I89" s="130">
        <f t="shared" si="10"/>
        <v>1801.1002304147466</v>
      </c>
      <c r="J89" s="130">
        <f t="shared" si="6"/>
        <v>2285.6911742871675</v>
      </c>
      <c r="K89" s="133">
        <f t="shared" si="13"/>
        <v>100.0133341756912</v>
      </c>
      <c r="L89" s="130">
        <v>8634</v>
      </c>
      <c r="M89" s="130">
        <v>6549</v>
      </c>
      <c r="N89" s="130">
        <f t="shared" si="11"/>
        <v>7907.3942803563059</v>
      </c>
      <c r="O89" s="132">
        <f t="shared" si="14"/>
        <v>99.170948738650495</v>
      </c>
      <c r="P89" s="130">
        <v>207700</v>
      </c>
      <c r="Q89" s="130">
        <v>37440</v>
      </c>
      <c r="R89" s="130">
        <f t="shared" si="12"/>
        <v>122570</v>
      </c>
      <c r="S89" s="133">
        <f t="shared" si="15"/>
        <v>144.25940092979462</v>
      </c>
      <c r="T89" s="159">
        <v>99.7</v>
      </c>
      <c r="U89" s="133">
        <v>100.0133341756912</v>
      </c>
      <c r="V89" s="133">
        <v>99.942207317809292</v>
      </c>
      <c r="W89" s="116"/>
      <c r="X89" s="134">
        <v>1.6</v>
      </c>
      <c r="Y89" s="160">
        <v>1.6</v>
      </c>
      <c r="Z89" s="137">
        <f t="shared" si="16"/>
        <v>96.3106796116505</v>
      </c>
    </row>
    <row r="90" spans="2:29" ht="12" hidden="1" customHeight="1">
      <c r="B90" s="103" t="s">
        <v>220</v>
      </c>
      <c r="C90" s="270" t="s">
        <v>220</v>
      </c>
      <c r="D90" s="128">
        <v>100</v>
      </c>
      <c r="E90" s="159">
        <v>100</v>
      </c>
      <c r="F90" s="129">
        <v>99.8</v>
      </c>
      <c r="G90" s="130">
        <v>307816</v>
      </c>
      <c r="H90" s="129">
        <v>152.9</v>
      </c>
      <c r="I90" s="130">
        <f t="shared" si="10"/>
        <v>2013.1850882930019</v>
      </c>
      <c r="J90" s="130">
        <f t="shared" ref="J90:J153" si="17">AVERAGE(I79:I90)</f>
        <v>2287.4954332630405</v>
      </c>
      <c r="K90" s="133">
        <f t="shared" si="13"/>
        <v>100.09228182965401</v>
      </c>
      <c r="L90" s="130">
        <v>8609</v>
      </c>
      <c r="M90" s="130">
        <v>6670</v>
      </c>
      <c r="N90" s="130">
        <f t="shared" si="11"/>
        <v>7933.2741053289592</v>
      </c>
      <c r="O90" s="132">
        <f t="shared" si="14"/>
        <v>99.495521752810689</v>
      </c>
      <c r="P90" s="130">
        <v>204300</v>
      </c>
      <c r="Q90" s="130">
        <v>38900</v>
      </c>
      <c r="R90" s="130">
        <f t="shared" si="12"/>
        <v>121600</v>
      </c>
      <c r="S90" s="133">
        <f t="shared" si="15"/>
        <v>143.11775436944626</v>
      </c>
      <c r="T90" s="159">
        <v>99.7</v>
      </c>
      <c r="U90" s="133">
        <v>100.09228182965401</v>
      </c>
      <c r="V90" s="133">
        <v>100.00323385432256</v>
      </c>
      <c r="W90" s="116"/>
      <c r="X90" s="134">
        <v>1.6</v>
      </c>
      <c r="Y90" s="160">
        <v>1.6</v>
      </c>
      <c r="Z90" s="137">
        <f t="shared" si="16"/>
        <v>96.3106796116505</v>
      </c>
    </row>
    <row r="91" spans="2:29" ht="12" hidden="1" customHeight="1">
      <c r="B91" s="103" t="s">
        <v>221</v>
      </c>
      <c r="C91" s="270" t="s">
        <v>221</v>
      </c>
      <c r="D91" s="128">
        <v>100</v>
      </c>
      <c r="E91" s="159">
        <v>99.8</v>
      </c>
      <c r="F91" s="129">
        <v>99.7</v>
      </c>
      <c r="G91" s="130">
        <v>500337</v>
      </c>
      <c r="H91" s="129">
        <v>172.7</v>
      </c>
      <c r="I91" s="130">
        <f t="shared" si="10"/>
        <v>2897.1453387376955</v>
      </c>
      <c r="J91" s="130">
        <f t="shared" si="17"/>
        <v>2286.766265754748</v>
      </c>
      <c r="K91" s="133">
        <f t="shared" si="13"/>
        <v>100.06037617481434</v>
      </c>
      <c r="L91" s="130">
        <v>8679</v>
      </c>
      <c r="M91" s="130">
        <v>6739</v>
      </c>
      <c r="N91" s="130">
        <f t="shared" si="11"/>
        <v>8002.9256133770905</v>
      </c>
      <c r="O91" s="132">
        <f t="shared" si="14"/>
        <v>100.36905934171914</v>
      </c>
      <c r="P91" s="130">
        <v>184800</v>
      </c>
      <c r="Q91" s="130">
        <v>44510</v>
      </c>
      <c r="R91" s="130">
        <f t="shared" si="12"/>
        <v>114655</v>
      </c>
      <c r="S91" s="133">
        <f t="shared" si="15"/>
        <v>134.94380038839523</v>
      </c>
      <c r="T91" s="159">
        <v>99.7</v>
      </c>
      <c r="U91" s="133">
        <v>100.06037617481434</v>
      </c>
      <c r="V91" s="133">
        <v>99.978570783131474</v>
      </c>
      <c r="W91" s="116">
        <v>38523</v>
      </c>
      <c r="X91" s="134">
        <v>1.5</v>
      </c>
      <c r="Y91" s="135">
        <f>1.6*19/30+1.5*11/30</f>
        <v>1.5633333333333335</v>
      </c>
      <c r="Z91" s="137">
        <f t="shared" si="16"/>
        <v>94.103559870550185</v>
      </c>
    </row>
    <row r="92" spans="2:29" ht="12" hidden="1" customHeight="1">
      <c r="B92" s="103" t="s">
        <v>222</v>
      </c>
      <c r="C92" s="270" t="s">
        <v>222</v>
      </c>
      <c r="D92" s="128">
        <v>100</v>
      </c>
      <c r="E92" s="159">
        <v>99.9</v>
      </c>
      <c r="F92" s="129">
        <v>100.2</v>
      </c>
      <c r="G92" s="130">
        <v>522528</v>
      </c>
      <c r="H92" s="129">
        <v>170.3</v>
      </c>
      <c r="I92" s="130">
        <f t="shared" si="10"/>
        <v>3068.2795067527891</v>
      </c>
      <c r="J92" s="130">
        <f t="shared" si="17"/>
        <v>2292.9201571697199</v>
      </c>
      <c r="K92" s="133">
        <f t="shared" si="13"/>
        <v>100.32964754685719</v>
      </c>
      <c r="L92" s="130">
        <v>8300</v>
      </c>
      <c r="M92" s="130">
        <v>6611</v>
      </c>
      <c r="N92" s="130">
        <f t="shared" si="11"/>
        <v>7711.3970932958273</v>
      </c>
      <c r="O92" s="132">
        <f t="shared" si="14"/>
        <v>96.712841010396616</v>
      </c>
      <c r="P92" s="130">
        <v>212100</v>
      </c>
      <c r="Q92" s="130">
        <v>36750</v>
      </c>
      <c r="R92" s="130">
        <f t="shared" si="12"/>
        <v>124425</v>
      </c>
      <c r="S92" s="133">
        <f t="shared" si="15"/>
        <v>146.44265285705879</v>
      </c>
      <c r="T92" s="159">
        <v>99.8</v>
      </c>
      <c r="U92" s="133">
        <v>100.32964754685719</v>
      </c>
      <c r="V92" s="133">
        <v>100.2094175537206</v>
      </c>
      <c r="W92" s="114"/>
      <c r="X92" s="134">
        <v>1.5</v>
      </c>
      <c r="Y92" s="135">
        <v>1.5</v>
      </c>
      <c r="Z92" s="137">
        <f t="shared" si="16"/>
        <v>90.291262135922338</v>
      </c>
    </row>
    <row r="93" spans="2:29" ht="12" hidden="1" customHeight="1">
      <c r="B93" s="103" t="s">
        <v>223</v>
      </c>
      <c r="C93" s="270" t="s">
        <v>223</v>
      </c>
      <c r="D93" s="128">
        <v>100.1</v>
      </c>
      <c r="E93" s="159">
        <v>99.9</v>
      </c>
      <c r="F93" s="129">
        <v>100.6</v>
      </c>
      <c r="G93" s="130">
        <v>319541</v>
      </c>
      <c r="H93" s="129">
        <v>159.1</v>
      </c>
      <c r="I93" s="130">
        <f t="shared" si="10"/>
        <v>2008.4286612193589</v>
      </c>
      <c r="J93" s="130">
        <f t="shared" si="17"/>
        <v>2289.2619224344448</v>
      </c>
      <c r="K93" s="133">
        <f t="shared" si="13"/>
        <v>100.16957681762304</v>
      </c>
      <c r="L93" s="130">
        <v>8317</v>
      </c>
      <c r="M93" s="130">
        <v>6481</v>
      </c>
      <c r="N93" s="130">
        <f t="shared" si="11"/>
        <v>7677.1687763713089</v>
      </c>
      <c r="O93" s="132">
        <f t="shared" si="14"/>
        <v>96.283565000780627</v>
      </c>
      <c r="P93" s="130">
        <v>210100</v>
      </c>
      <c r="Q93" s="130">
        <v>30460</v>
      </c>
      <c r="R93" s="130">
        <f t="shared" si="12"/>
        <v>120280</v>
      </c>
      <c r="S93" s="133">
        <f t="shared" si="15"/>
        <v>141.56417348319897</v>
      </c>
      <c r="T93" s="159">
        <v>99.8</v>
      </c>
      <c r="U93" s="133">
        <v>100.16957681762304</v>
      </c>
      <c r="V93" s="133">
        <v>100.08568288002262</v>
      </c>
      <c r="W93" s="114"/>
      <c r="X93" s="134">
        <v>1.5</v>
      </c>
      <c r="Y93" s="135">
        <v>1.5</v>
      </c>
      <c r="Z93" s="137">
        <f t="shared" si="16"/>
        <v>90.291262135922338</v>
      </c>
    </row>
    <row r="94" spans="2:29" ht="12" hidden="1" customHeight="1">
      <c r="B94" s="103" t="s">
        <v>224</v>
      </c>
      <c r="C94" s="270" t="s">
        <v>224</v>
      </c>
      <c r="D94" s="128">
        <v>100</v>
      </c>
      <c r="E94" s="159">
        <v>99.9</v>
      </c>
      <c r="F94" s="129">
        <v>100.9</v>
      </c>
      <c r="G94" s="130">
        <v>307924</v>
      </c>
      <c r="H94" s="129">
        <v>167.7</v>
      </c>
      <c r="I94" s="130">
        <f t="shared" si="10"/>
        <v>1836.1598091830651</v>
      </c>
      <c r="J94" s="130">
        <f t="shared" si="17"/>
        <v>2288.6571843108109</v>
      </c>
      <c r="K94" s="133">
        <f t="shared" si="13"/>
        <v>100.14311572929746</v>
      </c>
      <c r="L94" s="130">
        <v>8629</v>
      </c>
      <c r="M94" s="130">
        <v>6496</v>
      </c>
      <c r="N94" s="130">
        <f t="shared" si="11"/>
        <v>7885.6666666666679</v>
      </c>
      <c r="O94" s="132">
        <f t="shared" si="14"/>
        <v>98.898450873104437</v>
      </c>
      <c r="P94" s="130">
        <v>203100</v>
      </c>
      <c r="Q94" s="130">
        <v>25720</v>
      </c>
      <c r="R94" s="130">
        <f t="shared" si="12"/>
        <v>114410</v>
      </c>
      <c r="S94" s="133">
        <f t="shared" si="15"/>
        <v>134.65544636026598</v>
      </c>
      <c r="T94" s="159">
        <v>100.1</v>
      </c>
      <c r="U94" s="133">
        <v>100.14311572929746</v>
      </c>
      <c r="V94" s="133">
        <v>100.13332845874693</v>
      </c>
      <c r="W94" s="114"/>
      <c r="X94" s="134">
        <v>1.5</v>
      </c>
      <c r="Y94" s="135">
        <v>1.5</v>
      </c>
      <c r="Z94" s="137">
        <f t="shared" si="16"/>
        <v>90.291262135922338</v>
      </c>
    </row>
    <row r="95" spans="2:29" ht="12" hidden="1" customHeight="1">
      <c r="B95" s="103" t="s">
        <v>225</v>
      </c>
      <c r="C95" s="270" t="s">
        <v>225</v>
      </c>
      <c r="D95" s="128">
        <v>100</v>
      </c>
      <c r="E95" s="159">
        <v>99.9</v>
      </c>
      <c r="F95" s="129">
        <v>100.8</v>
      </c>
      <c r="G95" s="130">
        <v>309718</v>
      </c>
      <c r="H95" s="129">
        <v>166.4</v>
      </c>
      <c r="I95" s="130">
        <f t="shared" si="10"/>
        <v>1861.2860576923076</v>
      </c>
      <c r="J95" s="130">
        <f t="shared" si="17"/>
        <v>2289.1033982531185</v>
      </c>
      <c r="K95" s="133">
        <f t="shared" si="13"/>
        <v>100.16264038977123</v>
      </c>
      <c r="L95" s="130">
        <v>8732</v>
      </c>
      <c r="M95" s="130">
        <v>6444</v>
      </c>
      <c r="N95" s="130">
        <f t="shared" si="11"/>
        <v>7934.6504141272089</v>
      </c>
      <c r="O95" s="132">
        <f t="shared" si="14"/>
        <v>99.51278279284999</v>
      </c>
      <c r="P95" s="130">
        <v>190900</v>
      </c>
      <c r="Q95" s="130">
        <v>26000</v>
      </c>
      <c r="R95" s="130">
        <f t="shared" si="12"/>
        <v>108450</v>
      </c>
      <c r="S95" s="133">
        <f t="shared" si="15"/>
        <v>127.64079326781616</v>
      </c>
      <c r="T95" s="159">
        <v>100.3</v>
      </c>
      <c r="U95" s="133">
        <v>100.16264038977123</v>
      </c>
      <c r="V95" s="133">
        <v>100.19382102129315</v>
      </c>
      <c r="W95" s="113">
        <v>38645</v>
      </c>
      <c r="X95" s="134">
        <v>1.7</v>
      </c>
      <c r="Y95" s="135">
        <f>1.5*19/30+1.7*11/30</f>
        <v>1.5733333333333333</v>
      </c>
      <c r="Z95" s="137">
        <f t="shared" si="16"/>
        <v>94.70550161812298</v>
      </c>
    </row>
    <row r="96" spans="2:29" ht="12" hidden="1" customHeight="1">
      <c r="B96" s="103" t="s">
        <v>226</v>
      </c>
      <c r="C96" s="270" t="s">
        <v>226</v>
      </c>
      <c r="D96" s="128">
        <v>100.1</v>
      </c>
      <c r="E96" s="159">
        <v>99.8</v>
      </c>
      <c r="F96" s="129">
        <v>100.8</v>
      </c>
      <c r="G96" s="130">
        <v>334735</v>
      </c>
      <c r="H96" s="129">
        <v>171.1</v>
      </c>
      <c r="I96" s="130">
        <f t="shared" si="10"/>
        <v>1956.3705435417885</v>
      </c>
      <c r="J96" s="130">
        <f t="shared" si="17"/>
        <v>2291.7539897259935</v>
      </c>
      <c r="K96" s="133">
        <f t="shared" si="13"/>
        <v>100.27862040217276</v>
      </c>
      <c r="L96" s="130">
        <v>8505</v>
      </c>
      <c r="M96" s="130">
        <v>6462</v>
      </c>
      <c r="N96" s="130">
        <f t="shared" si="11"/>
        <v>7793.0309423347408</v>
      </c>
      <c r="O96" s="132">
        <f t="shared" si="14"/>
        <v>97.736655679470132</v>
      </c>
      <c r="P96" s="130">
        <v>176500</v>
      </c>
      <c r="Q96" s="130">
        <v>30870</v>
      </c>
      <c r="R96" s="130">
        <f t="shared" si="12"/>
        <v>103685</v>
      </c>
      <c r="S96" s="133">
        <f t="shared" si="15"/>
        <v>122.03260165950684</v>
      </c>
      <c r="T96" s="159">
        <v>101.5</v>
      </c>
      <c r="U96" s="133">
        <v>100.27862040217276</v>
      </c>
      <c r="V96" s="133">
        <v>100.55587357087954</v>
      </c>
      <c r="W96" s="114"/>
      <c r="X96" s="134">
        <v>1.7</v>
      </c>
      <c r="Y96" s="135">
        <v>1.7</v>
      </c>
      <c r="Z96" s="137">
        <f t="shared" si="16"/>
        <v>102.33009708737866</v>
      </c>
    </row>
    <row r="97" spans="2:26" ht="12" hidden="1" customHeight="1">
      <c r="B97" s="105" t="s">
        <v>227</v>
      </c>
      <c r="C97" s="271" t="s">
        <v>227</v>
      </c>
      <c r="D97" s="128">
        <v>100.1</v>
      </c>
      <c r="E97" s="159">
        <v>99.8</v>
      </c>
      <c r="F97" s="129">
        <v>100.9</v>
      </c>
      <c r="G97" s="130">
        <v>719908</v>
      </c>
      <c r="H97" s="129">
        <v>170</v>
      </c>
      <c r="I97" s="130">
        <f t="shared" si="10"/>
        <v>4234.7529411764708</v>
      </c>
      <c r="J97" s="130">
        <f t="shared" si="17"/>
        <v>2292.1045416332177</v>
      </c>
      <c r="K97" s="133">
        <f t="shared" si="13"/>
        <v>100.29395924822404</v>
      </c>
      <c r="L97" s="130">
        <v>8789</v>
      </c>
      <c r="M97" s="130">
        <v>6470</v>
      </c>
      <c r="N97" s="130">
        <f t="shared" si="11"/>
        <v>7980.8471636193171</v>
      </c>
      <c r="O97" s="132">
        <f t="shared" si="14"/>
        <v>100.09216144950244</v>
      </c>
      <c r="P97" s="130">
        <v>181700</v>
      </c>
      <c r="Q97" s="130">
        <v>30230</v>
      </c>
      <c r="R97" s="130">
        <f t="shared" si="12"/>
        <v>105965</v>
      </c>
      <c r="S97" s="133">
        <f t="shared" si="15"/>
        <v>124.71605955393397</v>
      </c>
      <c r="T97" s="159">
        <v>101.5</v>
      </c>
      <c r="U97" s="133">
        <v>100.29395924822404</v>
      </c>
      <c r="V97" s="133">
        <v>100.56773049887717</v>
      </c>
      <c r="W97" s="113"/>
      <c r="X97" s="134">
        <v>1.7</v>
      </c>
      <c r="Y97" s="135">
        <v>1.7</v>
      </c>
      <c r="Z97" s="137">
        <f t="shared" si="16"/>
        <v>102.33009708737866</v>
      </c>
    </row>
    <row r="98" spans="2:26" ht="12" hidden="1" customHeight="1">
      <c r="B98" s="104" t="s">
        <v>254</v>
      </c>
      <c r="C98" s="272" t="s">
        <v>228</v>
      </c>
      <c r="D98" s="138">
        <v>100.5</v>
      </c>
      <c r="E98" s="139">
        <v>99.9</v>
      </c>
      <c r="F98" s="139">
        <v>101.4</v>
      </c>
      <c r="G98" s="140">
        <v>312669</v>
      </c>
      <c r="H98" s="141">
        <v>149</v>
      </c>
      <c r="I98" s="140">
        <f t="shared" si="10"/>
        <v>2098.44966442953</v>
      </c>
      <c r="J98" s="140">
        <f t="shared" si="17"/>
        <v>2292.8712361891189</v>
      </c>
      <c r="K98" s="142">
        <f t="shared" si="13"/>
        <v>100.32750694692132</v>
      </c>
      <c r="L98" s="140">
        <v>8815</v>
      </c>
      <c r="M98" s="140">
        <v>6494</v>
      </c>
      <c r="N98" s="140">
        <f t="shared" si="11"/>
        <v>8006.1501797155815</v>
      </c>
      <c r="O98" s="143">
        <f t="shared" si="14"/>
        <v>100.40950038863308</v>
      </c>
      <c r="P98" s="140">
        <v>180100</v>
      </c>
      <c r="Q98" s="140">
        <v>32320</v>
      </c>
      <c r="R98" s="140">
        <f t="shared" si="12"/>
        <v>106210</v>
      </c>
      <c r="S98" s="142">
        <f t="shared" si="15"/>
        <v>125.00441358206319</v>
      </c>
      <c r="T98" s="141">
        <v>101.4</v>
      </c>
      <c r="U98" s="142">
        <v>100.32750694692132</v>
      </c>
      <c r="V98" s="142">
        <v>100.57096286997017</v>
      </c>
      <c r="W98" s="144">
        <v>38743</v>
      </c>
      <c r="X98" s="145">
        <v>1.6</v>
      </c>
      <c r="Y98" s="146">
        <f>1.7*25/31+1.6*6/31</f>
        <v>1.6806451612903226</v>
      </c>
      <c r="Z98" s="147">
        <f t="shared" si="16"/>
        <v>101.16504854368932</v>
      </c>
    </row>
    <row r="99" spans="2:26" ht="12" hidden="1" customHeight="1">
      <c r="B99" s="103" t="s">
        <v>198</v>
      </c>
      <c r="C99" s="270" t="s">
        <v>198</v>
      </c>
      <c r="D99" s="128">
        <v>100.4</v>
      </c>
      <c r="E99" s="129">
        <v>99.8</v>
      </c>
      <c r="F99" s="129">
        <v>101.6</v>
      </c>
      <c r="G99" s="130">
        <v>308664</v>
      </c>
      <c r="H99" s="131">
        <v>169.1</v>
      </c>
      <c r="I99" s="130">
        <f t="shared" si="10"/>
        <v>1825.3341218214075</v>
      </c>
      <c r="J99" s="130">
        <f t="shared" si="17"/>
        <v>2291.2376936352098</v>
      </c>
      <c r="K99" s="133">
        <f t="shared" si="13"/>
        <v>100.25602920785832</v>
      </c>
      <c r="L99" s="130">
        <v>8876</v>
      </c>
      <c r="M99" s="130">
        <v>6439</v>
      </c>
      <c r="N99" s="130">
        <f t="shared" si="11"/>
        <v>8026.7251132989531</v>
      </c>
      <c r="O99" s="132">
        <f t="shared" si="14"/>
        <v>100.66754186365685</v>
      </c>
      <c r="P99" s="130">
        <v>179100</v>
      </c>
      <c r="Q99" s="130">
        <v>38100</v>
      </c>
      <c r="R99" s="130">
        <f t="shared" si="12"/>
        <v>108600</v>
      </c>
      <c r="S99" s="133">
        <f t="shared" si="15"/>
        <v>127.81733655034427</v>
      </c>
      <c r="T99" s="131">
        <v>101.4</v>
      </c>
      <c r="U99" s="133">
        <v>100.25602920785832</v>
      </c>
      <c r="V99" s="133">
        <v>100.51571057767447</v>
      </c>
      <c r="W99" s="116">
        <v>38768</v>
      </c>
      <c r="X99" s="134">
        <v>1.8</v>
      </c>
      <c r="Y99" s="135">
        <f>1.6*19/28+1.8*9/28</f>
        <v>1.6642857142857144</v>
      </c>
      <c r="Z99" s="137">
        <f t="shared" si="16"/>
        <v>100.18030513176146</v>
      </c>
    </row>
    <row r="100" spans="2:26" ht="12" hidden="1" customHeight="1">
      <c r="B100" s="103" t="s">
        <v>219</v>
      </c>
      <c r="C100" s="270" t="s">
        <v>219</v>
      </c>
      <c r="D100" s="128">
        <v>100.4</v>
      </c>
      <c r="E100" s="129">
        <v>99.8</v>
      </c>
      <c r="F100" s="129">
        <v>101.6</v>
      </c>
      <c r="G100" s="130">
        <v>315038</v>
      </c>
      <c r="H100" s="131">
        <v>168.5</v>
      </c>
      <c r="I100" s="130">
        <f t="shared" si="10"/>
        <v>1869.6617210682493</v>
      </c>
      <c r="J100" s="130">
        <f t="shared" si="17"/>
        <v>2289.1794736942006</v>
      </c>
      <c r="K100" s="133">
        <f t="shared" si="13"/>
        <v>100.16596916777813</v>
      </c>
      <c r="L100" s="130">
        <v>8960</v>
      </c>
      <c r="M100" s="130">
        <v>6532</v>
      </c>
      <c r="N100" s="130">
        <f t="shared" si="11"/>
        <v>8113.8615408657615</v>
      </c>
      <c r="O100" s="132">
        <f t="shared" si="14"/>
        <v>101.76036737420009</v>
      </c>
      <c r="P100" s="130">
        <v>179000</v>
      </c>
      <c r="Q100" s="130">
        <v>43140</v>
      </c>
      <c r="R100" s="130">
        <f t="shared" si="12"/>
        <v>111070</v>
      </c>
      <c r="S100" s="133">
        <f t="shared" si="15"/>
        <v>130.72441593597364</v>
      </c>
      <c r="T100" s="131">
        <v>101.4</v>
      </c>
      <c r="U100" s="133">
        <v>100.16596916777813</v>
      </c>
      <c r="V100" s="133">
        <v>100.44609416669249</v>
      </c>
      <c r="W100" s="116"/>
      <c r="X100" s="134"/>
      <c r="Y100" s="135">
        <v>1.8</v>
      </c>
      <c r="Z100" s="137">
        <f t="shared" si="16"/>
        <v>108.34951456310682</v>
      </c>
    </row>
    <row r="101" spans="2:26" ht="12" hidden="1" customHeight="1">
      <c r="B101" s="103" t="s">
        <v>200</v>
      </c>
      <c r="C101" s="270" t="s">
        <v>200</v>
      </c>
      <c r="D101" s="128">
        <v>100.6</v>
      </c>
      <c r="E101" s="129">
        <v>99.9</v>
      </c>
      <c r="F101" s="129">
        <v>101.7</v>
      </c>
      <c r="G101" s="130">
        <v>317174</v>
      </c>
      <c r="H101" s="131">
        <v>173.6</v>
      </c>
      <c r="I101" s="130">
        <f t="shared" si="10"/>
        <v>1827.0391705069126</v>
      </c>
      <c r="J101" s="130">
        <f t="shared" si="17"/>
        <v>2291.3410520352149</v>
      </c>
      <c r="K101" s="133">
        <f t="shared" si="13"/>
        <v>100.26055178654956</v>
      </c>
      <c r="L101" s="130">
        <v>8590</v>
      </c>
      <c r="M101" s="130">
        <v>6542</v>
      </c>
      <c r="N101" s="130">
        <f t="shared" si="11"/>
        <v>7876.2884825754036</v>
      </c>
      <c r="O101" s="132">
        <f t="shared" si="14"/>
        <v>98.78083394636451</v>
      </c>
      <c r="P101" s="130">
        <v>205600</v>
      </c>
      <c r="Q101" s="130">
        <v>44430</v>
      </c>
      <c r="R101" s="130">
        <f t="shared" si="12"/>
        <v>125015</v>
      </c>
      <c r="S101" s="133">
        <f t="shared" si="15"/>
        <v>147.13705643500265</v>
      </c>
      <c r="T101" s="131">
        <v>101.5</v>
      </c>
      <c r="U101" s="133">
        <v>100.26055178654956</v>
      </c>
      <c r="V101" s="133">
        <v>100.54190653100281</v>
      </c>
      <c r="W101" s="116">
        <v>38826</v>
      </c>
      <c r="X101" s="134">
        <v>2</v>
      </c>
      <c r="Y101" s="135">
        <f>1.8*18/30+2*12/30</f>
        <v>1.88</v>
      </c>
      <c r="Z101" s="137">
        <f t="shared" si="16"/>
        <v>113.16504854368932</v>
      </c>
    </row>
    <row r="102" spans="2:26" ht="12" hidden="1" customHeight="1">
      <c r="B102" s="103" t="s">
        <v>220</v>
      </c>
      <c r="C102" s="270" t="s">
        <v>220</v>
      </c>
      <c r="D102" s="128">
        <v>100.9</v>
      </c>
      <c r="E102" s="129">
        <v>99.9</v>
      </c>
      <c r="F102" s="129">
        <v>102</v>
      </c>
      <c r="G102" s="130">
        <v>310225</v>
      </c>
      <c r="H102" s="131">
        <v>154.80000000000001</v>
      </c>
      <c r="I102" s="130">
        <f t="shared" si="10"/>
        <v>2004.0374677002583</v>
      </c>
      <c r="J102" s="130">
        <f t="shared" si="17"/>
        <v>2290.5787503191527</v>
      </c>
      <c r="K102" s="133">
        <f t="shared" si="13"/>
        <v>100.22719630216525</v>
      </c>
      <c r="L102" s="130">
        <v>8605</v>
      </c>
      <c r="M102" s="130">
        <v>6674</v>
      </c>
      <c r="N102" s="130">
        <f t="shared" si="11"/>
        <v>7932.0620409438989</v>
      </c>
      <c r="O102" s="132">
        <f t="shared" si="14"/>
        <v>99.480320591626992</v>
      </c>
      <c r="P102" s="130">
        <v>195400</v>
      </c>
      <c r="Q102" s="130">
        <v>44980</v>
      </c>
      <c r="R102" s="130">
        <f t="shared" si="12"/>
        <v>120190</v>
      </c>
      <c r="S102" s="133">
        <f t="shared" si="15"/>
        <v>141.4582475136821</v>
      </c>
      <c r="T102" s="131">
        <v>101.5</v>
      </c>
      <c r="U102" s="133">
        <v>100.22719630216525</v>
      </c>
      <c r="V102" s="133">
        <v>100.51612274157372</v>
      </c>
      <c r="W102" s="116">
        <v>38861</v>
      </c>
      <c r="X102" s="134">
        <v>2.1</v>
      </c>
      <c r="Y102" s="135">
        <f>2*23/31+2.1*8/31</f>
        <v>2.0258064516129033</v>
      </c>
      <c r="Z102" s="137">
        <f t="shared" si="16"/>
        <v>121.94174757281556</v>
      </c>
    </row>
    <row r="103" spans="2:26" ht="12" hidden="1" customHeight="1">
      <c r="B103" s="103" t="s">
        <v>221</v>
      </c>
      <c r="C103" s="270" t="s">
        <v>221</v>
      </c>
      <c r="D103" s="128">
        <v>101.3</v>
      </c>
      <c r="E103" s="129">
        <v>99.7</v>
      </c>
      <c r="F103" s="129">
        <v>101.9</v>
      </c>
      <c r="G103" s="130">
        <v>514073</v>
      </c>
      <c r="H103" s="131">
        <v>174.2</v>
      </c>
      <c r="I103" s="130">
        <f t="shared" si="10"/>
        <v>2951.0505166475318</v>
      </c>
      <c r="J103" s="130">
        <f t="shared" si="17"/>
        <v>2295.0708484783058</v>
      </c>
      <c r="K103" s="133">
        <f t="shared" si="13"/>
        <v>100.42375378963141</v>
      </c>
      <c r="L103" s="130">
        <v>8652</v>
      </c>
      <c r="M103" s="130">
        <v>6742</v>
      </c>
      <c r="N103" s="130">
        <f t="shared" si="11"/>
        <v>7986.3803719331154</v>
      </c>
      <c r="O103" s="132">
        <f t="shared" si="14"/>
        <v>100.16155643583961</v>
      </c>
      <c r="P103" s="130">
        <v>169000</v>
      </c>
      <c r="Q103" s="130">
        <v>49360</v>
      </c>
      <c r="R103" s="130">
        <f t="shared" si="12"/>
        <v>109180</v>
      </c>
      <c r="S103" s="133">
        <f t="shared" si="15"/>
        <v>128.49997057611958</v>
      </c>
      <c r="T103" s="131">
        <v>101.5</v>
      </c>
      <c r="U103" s="133">
        <v>100.42375378963141</v>
      </c>
      <c r="V103" s="133">
        <v>100.66806167938506</v>
      </c>
      <c r="W103" s="116"/>
      <c r="X103" s="134"/>
      <c r="Y103" s="135">
        <v>2.1</v>
      </c>
      <c r="Z103" s="137">
        <f t="shared" si="16"/>
        <v>126.40776699029128</v>
      </c>
    </row>
    <row r="104" spans="2:26" ht="12" hidden="1" customHeight="1">
      <c r="B104" s="103" t="s">
        <v>203</v>
      </c>
      <c r="C104" s="270" t="s">
        <v>203</v>
      </c>
      <c r="D104" s="128">
        <v>101.9</v>
      </c>
      <c r="E104" s="129">
        <v>99.7</v>
      </c>
      <c r="F104" s="129">
        <v>101.9</v>
      </c>
      <c r="G104" s="130">
        <v>528113</v>
      </c>
      <c r="H104" s="131">
        <v>171</v>
      </c>
      <c r="I104" s="130">
        <f t="shared" si="10"/>
        <v>3088.3801169590643</v>
      </c>
      <c r="J104" s="130">
        <f t="shared" si="17"/>
        <v>2296.7458993288287</v>
      </c>
      <c r="K104" s="133">
        <f t="shared" si="13"/>
        <v>100.49704777718283</v>
      </c>
      <c r="L104" s="130">
        <v>8290</v>
      </c>
      <c r="M104" s="130">
        <v>6622</v>
      </c>
      <c r="N104" s="130">
        <f t="shared" si="11"/>
        <v>7708.7154242850447</v>
      </c>
      <c r="O104" s="132">
        <f t="shared" si="14"/>
        <v>96.679208735266116</v>
      </c>
      <c r="P104" s="130">
        <v>175400</v>
      </c>
      <c r="Q104" s="130">
        <v>45280</v>
      </c>
      <c r="R104" s="130">
        <f t="shared" si="12"/>
        <v>110340</v>
      </c>
      <c r="S104" s="133">
        <f t="shared" si="15"/>
        <v>129.86523862767021</v>
      </c>
      <c r="T104" s="131">
        <v>101.5</v>
      </c>
      <c r="U104" s="133">
        <v>100.49704777718283</v>
      </c>
      <c r="V104" s="133">
        <v>100.72471793176231</v>
      </c>
      <c r="W104" s="116">
        <v>38918</v>
      </c>
      <c r="X104" s="134">
        <v>2.2000000000000002</v>
      </c>
      <c r="Y104" s="135">
        <f>2.1*19/31+2.2*12/31</f>
        <v>2.1387096774193548</v>
      </c>
      <c r="Z104" s="137">
        <f t="shared" si="16"/>
        <v>128.73786407766991</v>
      </c>
    </row>
    <row r="105" spans="2:26" ht="12" hidden="1" customHeight="1">
      <c r="B105" s="103" t="s">
        <v>204</v>
      </c>
      <c r="C105" s="270" t="s">
        <v>204</v>
      </c>
      <c r="D105" s="128">
        <v>102.7</v>
      </c>
      <c r="E105" s="129">
        <v>99.7</v>
      </c>
      <c r="F105" s="129">
        <v>102.4</v>
      </c>
      <c r="G105" s="130">
        <v>322034</v>
      </c>
      <c r="H105" s="131">
        <v>159.6</v>
      </c>
      <c r="I105" s="130">
        <f t="shared" si="10"/>
        <v>2017.7568922305766</v>
      </c>
      <c r="J105" s="130">
        <f t="shared" si="17"/>
        <v>2297.5232519130973</v>
      </c>
      <c r="K105" s="133">
        <f t="shared" si="13"/>
        <v>100.53106183151237</v>
      </c>
      <c r="L105" s="130">
        <v>8338</v>
      </c>
      <c r="M105" s="130">
        <v>6492</v>
      </c>
      <c r="N105" s="130">
        <f t="shared" si="11"/>
        <v>7694.6838568526346</v>
      </c>
      <c r="O105" s="132">
        <f t="shared" si="14"/>
        <v>96.503231187514473</v>
      </c>
      <c r="P105" s="130">
        <v>191800</v>
      </c>
      <c r="Q105" s="130">
        <v>31520</v>
      </c>
      <c r="R105" s="130">
        <f t="shared" si="12"/>
        <v>111660</v>
      </c>
      <c r="S105" s="133">
        <f t="shared" si="15"/>
        <v>131.4188195139175</v>
      </c>
      <c r="T105" s="131">
        <v>101.5</v>
      </c>
      <c r="U105" s="133">
        <v>100.53106183151237</v>
      </c>
      <c r="V105" s="133">
        <v>100.75101079575907</v>
      </c>
      <c r="W105" s="116">
        <v>38947</v>
      </c>
      <c r="X105" s="134">
        <v>2.1</v>
      </c>
      <c r="Y105" s="135">
        <f>2.2*17/31+2.1*14/31</f>
        <v>2.1548387096774198</v>
      </c>
      <c r="Z105" s="137">
        <f t="shared" si="16"/>
        <v>129.7087378640777</v>
      </c>
    </row>
    <row r="106" spans="2:26" ht="12" hidden="1" customHeight="1">
      <c r="B106" s="103" t="s">
        <v>224</v>
      </c>
      <c r="C106" s="270" t="s">
        <v>224</v>
      </c>
      <c r="D106" s="128">
        <v>103</v>
      </c>
      <c r="E106" s="129">
        <v>99.8</v>
      </c>
      <c r="F106" s="129">
        <v>102.7</v>
      </c>
      <c r="G106" s="130">
        <v>311410</v>
      </c>
      <c r="H106" s="131">
        <v>169.5</v>
      </c>
      <c r="I106" s="130">
        <f t="shared" si="10"/>
        <v>1837.2271386430677</v>
      </c>
      <c r="J106" s="130">
        <f t="shared" si="17"/>
        <v>2297.6121960347641</v>
      </c>
      <c r="K106" s="133">
        <f t="shared" si="13"/>
        <v>100.53495369506041</v>
      </c>
      <c r="L106" s="130">
        <v>8608</v>
      </c>
      <c r="M106" s="130">
        <v>6502</v>
      </c>
      <c r="N106" s="130">
        <f t="shared" si="11"/>
        <v>7874.0759493670903</v>
      </c>
      <c r="O106" s="132">
        <f t="shared" si="14"/>
        <v>98.75308535945905</v>
      </c>
      <c r="P106" s="130">
        <v>179200</v>
      </c>
      <c r="Q106" s="130">
        <v>26290</v>
      </c>
      <c r="R106" s="130">
        <f t="shared" si="12"/>
        <v>102745</v>
      </c>
      <c r="S106" s="133">
        <f t="shared" si="15"/>
        <v>120.92626375566408</v>
      </c>
      <c r="T106" s="131">
        <v>101.5</v>
      </c>
      <c r="U106" s="133">
        <v>100.53495369506041</v>
      </c>
      <c r="V106" s="133">
        <v>100.75401920628168</v>
      </c>
      <c r="W106" s="116">
        <v>39346</v>
      </c>
      <c r="X106" s="134">
        <v>1.9</v>
      </c>
      <c r="Y106" s="135">
        <f>2.1*20/30+1.9*10/30</f>
        <v>2.0333333333333332</v>
      </c>
      <c r="Z106" s="137">
        <f t="shared" si="16"/>
        <v>122.39482200647249</v>
      </c>
    </row>
    <row r="107" spans="2:26" ht="12" hidden="1" customHeight="1">
      <c r="B107" s="103" t="s">
        <v>225</v>
      </c>
      <c r="C107" s="270" t="s">
        <v>225</v>
      </c>
      <c r="D107" s="128">
        <v>103.8</v>
      </c>
      <c r="E107" s="129">
        <v>99.8</v>
      </c>
      <c r="F107" s="129">
        <v>103.1</v>
      </c>
      <c r="G107" s="130">
        <v>312161</v>
      </c>
      <c r="H107" s="131">
        <v>168.7</v>
      </c>
      <c r="I107" s="130">
        <f t="shared" si="10"/>
        <v>1850.3912270302312</v>
      </c>
      <c r="J107" s="130">
        <f t="shared" si="17"/>
        <v>2296.7042934795904</v>
      </c>
      <c r="K107" s="133">
        <f t="shared" si="13"/>
        <v>100.49522726015483</v>
      </c>
      <c r="L107" s="130">
        <v>8703</v>
      </c>
      <c r="M107" s="130">
        <v>6464</v>
      </c>
      <c r="N107" s="130">
        <f t="shared" si="11"/>
        <v>7922.7265197687157</v>
      </c>
      <c r="O107" s="132">
        <f t="shared" si="14"/>
        <v>99.363238723809602</v>
      </c>
      <c r="P107" s="130">
        <v>166900</v>
      </c>
      <c r="Q107" s="130">
        <v>31370</v>
      </c>
      <c r="R107" s="130">
        <f t="shared" si="12"/>
        <v>99135</v>
      </c>
      <c r="S107" s="133">
        <f t="shared" si="15"/>
        <v>116.67745542282115</v>
      </c>
      <c r="T107" s="131">
        <v>101.8</v>
      </c>
      <c r="U107" s="133">
        <v>100.49522726015483</v>
      </c>
      <c r="V107" s="133">
        <v>100.79141067209969</v>
      </c>
      <c r="W107" s="116"/>
      <c r="X107" s="134"/>
      <c r="Y107" s="135">
        <v>1.9</v>
      </c>
      <c r="Z107" s="137">
        <f t="shared" si="16"/>
        <v>114.36893203883496</v>
      </c>
    </row>
    <row r="108" spans="2:26" ht="12" hidden="1" customHeight="1">
      <c r="B108" s="103" t="s">
        <v>226</v>
      </c>
      <c r="C108" s="270" t="s">
        <v>226</v>
      </c>
      <c r="D108" s="128">
        <v>104.2</v>
      </c>
      <c r="E108" s="129">
        <v>99.8</v>
      </c>
      <c r="F108" s="129">
        <v>102.9</v>
      </c>
      <c r="G108" s="130">
        <v>338846</v>
      </c>
      <c r="H108" s="131">
        <v>172.5</v>
      </c>
      <c r="I108" s="130">
        <f t="shared" si="10"/>
        <v>1964.3246376811594</v>
      </c>
      <c r="J108" s="130">
        <f t="shared" si="17"/>
        <v>2297.3671346578717</v>
      </c>
      <c r="K108" s="133">
        <f t="shared" si="13"/>
        <v>100.5242307217837</v>
      </c>
      <c r="L108" s="130">
        <v>8500</v>
      </c>
      <c r="M108" s="130">
        <v>6470</v>
      </c>
      <c r="N108" s="130">
        <f t="shared" si="11"/>
        <v>7792.5613377090185</v>
      </c>
      <c r="O108" s="132">
        <f t="shared" si="14"/>
        <v>97.730766111476726</v>
      </c>
      <c r="P108" s="130">
        <v>161700</v>
      </c>
      <c r="Q108" s="130">
        <v>35810</v>
      </c>
      <c r="R108" s="130">
        <f t="shared" si="12"/>
        <v>98755</v>
      </c>
      <c r="S108" s="133">
        <f t="shared" si="15"/>
        <v>116.23021244041665</v>
      </c>
      <c r="T108" s="131">
        <v>101.8</v>
      </c>
      <c r="U108" s="133">
        <v>100.5242307217837</v>
      </c>
      <c r="V108" s="133">
        <v>100.81383034793879</v>
      </c>
      <c r="W108" s="116"/>
      <c r="X108" s="134"/>
      <c r="Y108" s="135">
        <v>1.9</v>
      </c>
      <c r="Z108" s="137">
        <f t="shared" si="16"/>
        <v>114.36893203883496</v>
      </c>
    </row>
    <row r="109" spans="2:26" ht="12" hidden="1" customHeight="1">
      <c r="B109" s="105" t="s">
        <v>227</v>
      </c>
      <c r="C109" s="271" t="s">
        <v>227</v>
      </c>
      <c r="D109" s="148">
        <v>104.8</v>
      </c>
      <c r="E109" s="149">
        <v>99.7</v>
      </c>
      <c r="F109" s="149">
        <v>102.9</v>
      </c>
      <c r="G109" s="150">
        <v>735437</v>
      </c>
      <c r="H109" s="151">
        <v>170.6</v>
      </c>
      <c r="I109" s="150">
        <f t="shared" si="10"/>
        <v>4310.88511137163</v>
      </c>
      <c r="J109" s="150">
        <f t="shared" si="17"/>
        <v>2303.7114821741352</v>
      </c>
      <c r="K109" s="152">
        <f t="shared" si="13"/>
        <v>100.80183574358574</v>
      </c>
      <c r="L109" s="150">
        <v>8822</v>
      </c>
      <c r="M109" s="150">
        <v>6485</v>
      </c>
      <c r="N109" s="150">
        <f t="shared" si="11"/>
        <v>8007.5743084857022</v>
      </c>
      <c r="O109" s="153">
        <f t="shared" si="14"/>
        <v>100.42736116504709</v>
      </c>
      <c r="P109" s="150">
        <v>170000</v>
      </c>
      <c r="Q109" s="150">
        <v>36920</v>
      </c>
      <c r="R109" s="150">
        <f t="shared" si="12"/>
        <v>103460</v>
      </c>
      <c r="S109" s="152">
        <f t="shared" si="15"/>
        <v>121.76778673571471</v>
      </c>
      <c r="T109" s="151">
        <v>102.3</v>
      </c>
      <c r="U109" s="152">
        <v>100.80183574358574</v>
      </c>
      <c r="V109" s="152">
        <v>101.14191902979179</v>
      </c>
      <c r="W109" s="154">
        <v>39436</v>
      </c>
      <c r="X109" s="155">
        <v>1.8</v>
      </c>
      <c r="Y109" s="156">
        <f>1.9*19/31+1.8*12/31</f>
        <v>1.8612903225806452</v>
      </c>
      <c r="Z109" s="157">
        <f t="shared" si="16"/>
        <v>112.03883495145632</v>
      </c>
    </row>
    <row r="110" spans="2:26" ht="12" hidden="1" customHeight="1">
      <c r="B110" s="104" t="s">
        <v>260</v>
      </c>
      <c r="C110" s="272" t="s">
        <v>230</v>
      </c>
      <c r="D110" s="161">
        <v>98.415657036346687</v>
      </c>
      <c r="E110" s="159">
        <v>94.947569113441347</v>
      </c>
      <c r="F110" s="129">
        <v>104</v>
      </c>
      <c r="G110" s="130">
        <v>302001</v>
      </c>
      <c r="H110" s="129">
        <v>149.69999999999999</v>
      </c>
      <c r="I110" s="130">
        <f t="shared" si="10"/>
        <v>2017.3747494989982</v>
      </c>
      <c r="J110" s="130">
        <f t="shared" si="17"/>
        <v>2296.9552392632572</v>
      </c>
      <c r="K110" s="133">
        <f t="shared" si="13"/>
        <v>100.50620771315923</v>
      </c>
      <c r="L110" s="130">
        <f>AVERAGE(L74:L109)</f>
        <v>8649.3333333333339</v>
      </c>
      <c r="M110" s="130">
        <f>AVERAGE(M74:M109)</f>
        <v>6528.3888888888887</v>
      </c>
      <c r="N110" s="130">
        <f t="shared" si="11"/>
        <v>7910.2012640864041</v>
      </c>
      <c r="O110" s="132">
        <f t="shared" si="14"/>
        <v>99.206152654091937</v>
      </c>
      <c r="P110" s="368">
        <v>152200</v>
      </c>
      <c r="Q110" s="368">
        <v>40550</v>
      </c>
      <c r="R110" s="130">
        <f t="shared" si="12"/>
        <v>96375</v>
      </c>
      <c r="S110" s="133">
        <f t="shared" si="15"/>
        <v>113.42905902430414</v>
      </c>
      <c r="T110" s="159">
        <v>103.56768100734523</v>
      </c>
      <c r="U110" s="133">
        <v>100.50620771315923</v>
      </c>
      <c r="V110" s="133">
        <v>101.20116215093945</v>
      </c>
      <c r="W110" s="113">
        <v>39107</v>
      </c>
      <c r="X110" s="134">
        <v>1.9</v>
      </c>
      <c r="Y110" s="135">
        <f>1.8*24/31+1.9*7/31</f>
        <v>1.8225806451612903</v>
      </c>
      <c r="Z110" s="137">
        <f t="shared" si="16"/>
        <v>109.70873786407766</v>
      </c>
    </row>
    <row r="111" spans="2:26" ht="12" hidden="1" customHeight="1">
      <c r="B111" s="103" t="s">
        <v>198</v>
      </c>
      <c r="C111" s="270" t="s">
        <v>198</v>
      </c>
      <c r="D111" s="161">
        <v>98.974836905871399</v>
      </c>
      <c r="E111" s="159">
        <v>94.947569113441347</v>
      </c>
      <c r="F111" s="129">
        <v>103.8</v>
      </c>
      <c r="G111" s="130">
        <v>299440</v>
      </c>
      <c r="H111" s="129">
        <v>167.5</v>
      </c>
      <c r="I111" s="130">
        <f t="shared" si="10"/>
        <v>1787.7014925373135</v>
      </c>
      <c r="J111" s="130">
        <f t="shared" si="17"/>
        <v>2293.819186822916</v>
      </c>
      <c r="K111" s="133">
        <f t="shared" si="13"/>
        <v>100.36898573661371</v>
      </c>
      <c r="L111" s="130">
        <f t="shared" ref="L111:M126" si="18">AVERAGE(L75:L110)</f>
        <v>8644.3148148148139</v>
      </c>
      <c r="M111" s="130">
        <f t="shared" si="18"/>
        <v>6530.5385802469136</v>
      </c>
      <c r="N111" s="130">
        <f t="shared" si="11"/>
        <v>7907.6808090191571</v>
      </c>
      <c r="O111" s="132">
        <f t="shared" si="14"/>
        <v>99.174542251042624</v>
      </c>
      <c r="P111" s="368">
        <v>163700</v>
      </c>
      <c r="Q111" s="368">
        <v>46280</v>
      </c>
      <c r="R111" s="130">
        <f t="shared" si="12"/>
        <v>104990</v>
      </c>
      <c r="S111" s="133">
        <f t="shared" si="15"/>
        <v>123.56852821750132</v>
      </c>
      <c r="T111" s="159">
        <v>103.67261280167891</v>
      </c>
      <c r="U111" s="133">
        <v>100.36898573661371</v>
      </c>
      <c r="V111" s="133">
        <v>101.1189090803835</v>
      </c>
      <c r="W111" s="114"/>
      <c r="X111" s="134"/>
      <c r="Y111" s="135">
        <v>1.9</v>
      </c>
      <c r="Z111" s="137">
        <f t="shared" si="16"/>
        <v>114.36893203883496</v>
      </c>
    </row>
    <row r="112" spans="2:26" ht="12" hidden="1" customHeight="1">
      <c r="B112" s="103" t="s">
        <v>219</v>
      </c>
      <c r="C112" s="270" t="s">
        <v>219</v>
      </c>
      <c r="D112" s="161">
        <v>98.974836905871399</v>
      </c>
      <c r="E112" s="159">
        <v>95.042897998093409</v>
      </c>
      <c r="F112" s="129">
        <v>103.9</v>
      </c>
      <c r="G112" s="130">
        <v>306742</v>
      </c>
      <c r="H112" s="129">
        <v>166.9</v>
      </c>
      <c r="I112" s="130">
        <f t="shared" si="10"/>
        <v>1837.8789694427801</v>
      </c>
      <c r="J112" s="130">
        <f t="shared" si="17"/>
        <v>2291.1706241874604</v>
      </c>
      <c r="K112" s="133">
        <f t="shared" si="13"/>
        <v>100.25309449858253</v>
      </c>
      <c r="L112" s="130">
        <f t="shared" si="18"/>
        <v>8637.6013374485592</v>
      </c>
      <c r="M112" s="130">
        <f t="shared" si="18"/>
        <v>6533.8313185871048</v>
      </c>
      <c r="N112" s="130">
        <f t="shared" si="11"/>
        <v>7904.4544172952483</v>
      </c>
      <c r="O112" s="132">
        <f t="shared" si="14"/>
        <v>99.134078310973578</v>
      </c>
      <c r="P112" s="368">
        <v>159400</v>
      </c>
      <c r="Q112" s="368">
        <v>50410</v>
      </c>
      <c r="R112" s="130">
        <f t="shared" si="12"/>
        <v>104905</v>
      </c>
      <c r="S112" s="133">
        <f t="shared" si="15"/>
        <v>123.46848702406874</v>
      </c>
      <c r="T112" s="159">
        <v>103.88247639034628</v>
      </c>
      <c r="U112" s="133">
        <v>100.25309449858253</v>
      </c>
      <c r="V112" s="133">
        <v>101.07696418801289</v>
      </c>
      <c r="W112" s="114"/>
      <c r="X112" s="134"/>
      <c r="Y112" s="135">
        <v>1.9</v>
      </c>
      <c r="Z112" s="137">
        <f t="shared" si="16"/>
        <v>114.36893203883496</v>
      </c>
    </row>
    <row r="113" spans="2:26" ht="12" hidden="1" customHeight="1">
      <c r="B113" s="103" t="s">
        <v>200</v>
      </c>
      <c r="C113" s="270" t="s">
        <v>200</v>
      </c>
      <c r="D113" s="161">
        <v>99.254426840633741</v>
      </c>
      <c r="E113" s="159">
        <v>94.947569113441347</v>
      </c>
      <c r="F113" s="129">
        <v>104.8</v>
      </c>
      <c r="G113" s="130">
        <v>308673</v>
      </c>
      <c r="H113" s="129">
        <v>171.8</v>
      </c>
      <c r="I113" s="130">
        <f t="shared" si="10"/>
        <v>1796.6996507566937</v>
      </c>
      <c r="J113" s="130">
        <f t="shared" si="17"/>
        <v>2288.6423308749422</v>
      </c>
      <c r="K113" s="133">
        <f t="shared" si="13"/>
        <v>100.14246579825607</v>
      </c>
      <c r="L113" s="130">
        <f t="shared" si="18"/>
        <v>8628.5902634887971</v>
      </c>
      <c r="M113" s="130">
        <f t="shared" si="18"/>
        <v>6533.687744103413</v>
      </c>
      <c r="N113" s="130">
        <f t="shared" si="11"/>
        <v>7898.5335955360861</v>
      </c>
      <c r="O113" s="132">
        <f t="shared" si="14"/>
        <v>99.059822052799234</v>
      </c>
      <c r="P113" s="368">
        <v>169600</v>
      </c>
      <c r="Q113" s="368">
        <v>51070</v>
      </c>
      <c r="R113" s="130">
        <f t="shared" si="12"/>
        <v>110335</v>
      </c>
      <c r="S113" s="133">
        <f t="shared" si="15"/>
        <v>129.85935385158595</v>
      </c>
      <c r="T113" s="159">
        <v>104.19727177334732</v>
      </c>
      <c r="U113" s="133">
        <v>100.14246579825607</v>
      </c>
      <c r="V113" s="133">
        <v>101.06290675460178</v>
      </c>
      <c r="W113" s="114"/>
      <c r="X113" s="134"/>
      <c r="Y113" s="135">
        <v>1.9</v>
      </c>
      <c r="Z113" s="137">
        <f t="shared" si="16"/>
        <v>114.36893203883496</v>
      </c>
    </row>
    <row r="114" spans="2:26" ht="12" hidden="1" customHeight="1">
      <c r="B114" s="103" t="s">
        <v>220</v>
      </c>
      <c r="C114" s="270" t="s">
        <v>220</v>
      </c>
      <c r="D114" s="161">
        <v>99.254426840633741</v>
      </c>
      <c r="E114" s="159">
        <v>95.042897998093409</v>
      </c>
      <c r="F114" s="129">
        <v>105.3</v>
      </c>
      <c r="G114" s="130">
        <v>301815</v>
      </c>
      <c r="H114" s="129">
        <v>156.4</v>
      </c>
      <c r="I114" s="130">
        <f t="shared" si="10"/>
        <v>1929.7634271099744</v>
      </c>
      <c r="J114" s="130">
        <f t="shared" si="17"/>
        <v>2282.4528274924187</v>
      </c>
      <c r="K114" s="133">
        <f t="shared" si="13"/>
        <v>99.871636179127435</v>
      </c>
      <c r="L114" s="130">
        <f t="shared" si="18"/>
        <v>8629.5233263634873</v>
      </c>
      <c r="M114" s="130">
        <f t="shared" si="18"/>
        <v>6533.7068481062852</v>
      </c>
      <c r="N114" s="130">
        <f t="shared" si="11"/>
        <v>7899.14815109961</v>
      </c>
      <c r="O114" s="132">
        <f t="shared" si="14"/>
        <v>99.067529529640069</v>
      </c>
      <c r="P114" s="368">
        <v>176900</v>
      </c>
      <c r="Q114" s="368">
        <v>49580</v>
      </c>
      <c r="R114" s="130">
        <f t="shared" si="12"/>
        <v>113240</v>
      </c>
      <c r="S114" s="133">
        <f t="shared" si="15"/>
        <v>133.27840875654681</v>
      </c>
      <c r="T114" s="159">
        <v>104.51206715634837</v>
      </c>
      <c r="U114" s="133">
        <v>99.871636179127435</v>
      </c>
      <c r="V114" s="133">
        <v>100.92501401095659</v>
      </c>
      <c r="W114" s="114"/>
      <c r="X114" s="134"/>
      <c r="Y114" s="135">
        <v>1.9</v>
      </c>
      <c r="Z114" s="137">
        <f t="shared" si="16"/>
        <v>114.36893203883496</v>
      </c>
    </row>
    <row r="115" spans="2:26" ht="12" hidden="1" customHeight="1">
      <c r="B115" s="103" t="s">
        <v>221</v>
      </c>
      <c r="C115" s="270" t="s">
        <v>221</v>
      </c>
      <c r="D115" s="161">
        <v>99.347623485554521</v>
      </c>
      <c r="E115" s="159">
        <v>94.947569113441347</v>
      </c>
      <c r="F115" s="129">
        <v>105.3</v>
      </c>
      <c r="G115" s="130">
        <v>505567</v>
      </c>
      <c r="H115" s="129">
        <v>174.1</v>
      </c>
      <c r="I115" s="130">
        <f t="shared" si="10"/>
        <v>2903.8885697874784</v>
      </c>
      <c r="J115" s="130">
        <f t="shared" si="17"/>
        <v>2278.5226652540809</v>
      </c>
      <c r="K115" s="133">
        <f t="shared" si="13"/>
        <v>99.699666914981265</v>
      </c>
      <c r="L115" s="130">
        <f t="shared" si="18"/>
        <v>8630.5100854291395</v>
      </c>
      <c r="M115" s="130">
        <f t="shared" si="18"/>
        <v>6530.6431494425715</v>
      </c>
      <c r="N115" s="130">
        <f t="shared" si="11"/>
        <v>7898.7233582451991</v>
      </c>
      <c r="O115" s="132">
        <f t="shared" si="14"/>
        <v>99.062201970535796</v>
      </c>
      <c r="P115" s="368">
        <v>177200</v>
      </c>
      <c r="Q115" s="368">
        <v>49470</v>
      </c>
      <c r="R115" s="130">
        <f t="shared" si="12"/>
        <v>113335</v>
      </c>
      <c r="S115" s="133">
        <f t="shared" si="15"/>
        <v>133.39021950214794</v>
      </c>
      <c r="T115" s="159">
        <v>104.93179433368311</v>
      </c>
      <c r="U115" s="133">
        <v>99.699666914981265</v>
      </c>
      <c r="V115" s="133">
        <v>100.88735983902657</v>
      </c>
      <c r="W115" s="113">
        <v>39253</v>
      </c>
      <c r="X115" s="134">
        <v>2</v>
      </c>
      <c r="Y115" s="135">
        <f>1.9*19/30+2*11/30</f>
        <v>1.9366666666666665</v>
      </c>
      <c r="Z115" s="137">
        <f t="shared" si="16"/>
        <v>116.57605177993528</v>
      </c>
    </row>
    <row r="116" spans="2:26" ht="12" hidden="1" customHeight="1">
      <c r="B116" s="103" t="s">
        <v>203</v>
      </c>
      <c r="C116" s="270" t="s">
        <v>203</v>
      </c>
      <c r="D116" s="161">
        <v>99.440820130475316</v>
      </c>
      <c r="E116" s="159">
        <v>94.947569113441347</v>
      </c>
      <c r="F116" s="129">
        <v>106</v>
      </c>
      <c r="G116" s="130">
        <v>501287</v>
      </c>
      <c r="H116" s="129">
        <v>170.2</v>
      </c>
      <c r="I116" s="130">
        <f t="shared" si="10"/>
        <v>2945.2820211515864</v>
      </c>
      <c r="J116" s="130">
        <f t="shared" si="17"/>
        <v>2266.597823936791</v>
      </c>
      <c r="K116" s="133">
        <f t="shared" si="13"/>
        <v>99.177880265465873</v>
      </c>
      <c r="L116" s="130">
        <f t="shared" si="18"/>
        <v>8630.2186989132824</v>
      </c>
      <c r="M116" s="130">
        <f t="shared" si="18"/>
        <v>6525.161014704865</v>
      </c>
      <c r="N116" s="130">
        <f t="shared" si="11"/>
        <v>7896.6230377498568</v>
      </c>
      <c r="O116" s="132">
        <f t="shared" si="14"/>
        <v>99.035860704526627</v>
      </c>
      <c r="P116" s="368">
        <v>195400</v>
      </c>
      <c r="Q116" s="368">
        <v>45510</v>
      </c>
      <c r="R116" s="130">
        <f t="shared" si="12"/>
        <v>120455</v>
      </c>
      <c r="S116" s="133">
        <f t="shared" si="15"/>
        <v>141.77014064614841</v>
      </c>
      <c r="T116" s="159">
        <v>104.82686253934943</v>
      </c>
      <c r="U116" s="133">
        <v>99.177880265465873</v>
      </c>
      <c r="V116" s="133">
        <v>100.46019924163744</v>
      </c>
      <c r="W116" s="113">
        <v>39282</v>
      </c>
      <c r="X116" s="134">
        <v>2.1</v>
      </c>
      <c r="Y116" s="135">
        <f>2*18/31+2.1*13/31</f>
        <v>2.0419354838709678</v>
      </c>
      <c r="Z116" s="137">
        <f t="shared" si="16"/>
        <v>122.91262135922332</v>
      </c>
    </row>
    <row r="117" spans="2:26" ht="12" hidden="1" customHeight="1">
      <c r="B117" s="103" t="s">
        <v>204</v>
      </c>
      <c r="C117" s="270" t="s">
        <v>204</v>
      </c>
      <c r="D117" s="161">
        <v>99.534016775396083</v>
      </c>
      <c r="E117" s="159">
        <v>95.042897998093409</v>
      </c>
      <c r="F117" s="129">
        <v>106.5</v>
      </c>
      <c r="G117" s="130">
        <v>314332</v>
      </c>
      <c r="H117" s="129">
        <v>159</v>
      </c>
      <c r="I117" s="130">
        <f t="shared" si="10"/>
        <v>1976.9308176100628</v>
      </c>
      <c r="J117" s="130">
        <f t="shared" si="17"/>
        <v>2263.195651051748</v>
      </c>
      <c r="K117" s="133">
        <f t="shared" si="13"/>
        <v>99.029013849257481</v>
      </c>
      <c r="L117" s="130">
        <f t="shared" si="18"/>
        <v>8638.4469961053182</v>
      </c>
      <c r="M117" s="130">
        <f t="shared" si="18"/>
        <v>6523.3043762244452</v>
      </c>
      <c r="N117" s="130">
        <f t="shared" si="11"/>
        <v>7901.3368160249402</v>
      </c>
      <c r="O117" s="132">
        <f t="shared" si="14"/>
        <v>99.094978771377669</v>
      </c>
      <c r="P117" s="368">
        <v>195100</v>
      </c>
      <c r="Q117" s="368">
        <v>27480</v>
      </c>
      <c r="R117" s="130">
        <f t="shared" si="12"/>
        <v>111290</v>
      </c>
      <c r="S117" s="133">
        <f t="shared" si="15"/>
        <v>130.98334608368151</v>
      </c>
      <c r="T117" s="159">
        <v>104.93179433368311</v>
      </c>
      <c r="U117" s="133">
        <v>99.029013849257481</v>
      </c>
      <c r="V117" s="133">
        <v>100.36894501922208</v>
      </c>
      <c r="W117" s="113">
        <v>39314</v>
      </c>
      <c r="X117" s="134">
        <v>2</v>
      </c>
      <c r="Y117" s="135">
        <f>2.1*19/31+2*12/31</f>
        <v>2.0612903225806454</v>
      </c>
      <c r="Z117" s="137">
        <f t="shared" si="16"/>
        <v>124.07766990291265</v>
      </c>
    </row>
    <row r="118" spans="2:26" ht="12" hidden="1" customHeight="1">
      <c r="B118" s="103" t="s">
        <v>224</v>
      </c>
      <c r="C118" s="270" t="s">
        <v>224</v>
      </c>
      <c r="D118" s="161">
        <v>99.347623485554521</v>
      </c>
      <c r="E118" s="159">
        <v>94.947569113441347</v>
      </c>
      <c r="F118" s="129">
        <v>106.5</v>
      </c>
      <c r="G118" s="130">
        <v>302811</v>
      </c>
      <c r="H118" s="129">
        <v>166.3</v>
      </c>
      <c r="I118" s="130">
        <f t="shared" si="10"/>
        <v>1820.8719182200841</v>
      </c>
      <c r="J118" s="130">
        <f t="shared" si="17"/>
        <v>2261.8327160164995</v>
      </c>
      <c r="K118" s="133">
        <f t="shared" si="13"/>
        <v>98.969376887504509</v>
      </c>
      <c r="L118" s="130">
        <f t="shared" si="18"/>
        <v>8646.6260793304646</v>
      </c>
      <c r="M118" s="130">
        <f t="shared" si="18"/>
        <v>6524.8683866751235</v>
      </c>
      <c r="N118" s="130">
        <f t="shared" si="11"/>
        <v>7907.2105996271666</v>
      </c>
      <c r="O118" s="132">
        <f t="shared" si="14"/>
        <v>99.168645098345252</v>
      </c>
      <c r="P118" s="368">
        <v>194500</v>
      </c>
      <c r="Q118" s="368">
        <v>22160</v>
      </c>
      <c r="R118" s="130">
        <f t="shared" si="12"/>
        <v>108330</v>
      </c>
      <c r="S118" s="133">
        <f t="shared" si="15"/>
        <v>127.49955864179367</v>
      </c>
      <c r="T118" s="159">
        <v>105.24658971668416</v>
      </c>
      <c r="U118" s="133">
        <v>98.969376887504509</v>
      </c>
      <c r="V118" s="133">
        <v>100.39430419972828</v>
      </c>
      <c r="W118" s="113">
        <v>39345</v>
      </c>
      <c r="X118" s="134">
        <v>1.8</v>
      </c>
      <c r="Y118" s="135">
        <f>2*19/30+1.8*11/30</f>
        <v>1.9266666666666667</v>
      </c>
      <c r="Z118" s="137">
        <f t="shared" si="16"/>
        <v>115.97411003236246</v>
      </c>
    </row>
    <row r="119" spans="2:26" ht="12" hidden="1" customHeight="1">
      <c r="B119" s="103" t="s">
        <v>225</v>
      </c>
      <c r="C119" s="270" t="s">
        <v>225</v>
      </c>
      <c r="D119" s="161">
        <v>99.347623485554521</v>
      </c>
      <c r="E119" s="159">
        <v>95.042897998093409</v>
      </c>
      <c r="F119" s="162">
        <v>96.906278434940859</v>
      </c>
      <c r="G119" s="130">
        <v>305406</v>
      </c>
      <c r="H119" s="129">
        <v>168</v>
      </c>
      <c r="I119" s="130">
        <f t="shared" si="10"/>
        <v>1817.8928571428571</v>
      </c>
      <c r="J119" s="130">
        <f t="shared" si="17"/>
        <v>2259.1245185258849</v>
      </c>
      <c r="K119" s="133">
        <f t="shared" si="13"/>
        <v>98.850876250283875</v>
      </c>
      <c r="L119" s="130">
        <f t="shared" si="18"/>
        <v>8647.4212482007533</v>
      </c>
      <c r="M119" s="130">
        <f t="shared" si="18"/>
        <v>6525.5036196383217</v>
      </c>
      <c r="N119" s="130">
        <f t="shared" si="11"/>
        <v>7907.9500321210198</v>
      </c>
      <c r="O119" s="132">
        <f t="shared" si="14"/>
        <v>99.177918724946338</v>
      </c>
      <c r="P119" s="368">
        <v>185400</v>
      </c>
      <c r="Q119" s="368">
        <v>18640</v>
      </c>
      <c r="R119" s="130">
        <f t="shared" si="12"/>
        <v>102020</v>
      </c>
      <c r="S119" s="133">
        <f t="shared" si="15"/>
        <v>120.07297122344495</v>
      </c>
      <c r="T119" s="159">
        <v>104.82686253934943</v>
      </c>
      <c r="U119" s="133">
        <v>98.850876250283875</v>
      </c>
      <c r="V119" s="133">
        <v>100.20742513790175</v>
      </c>
      <c r="W119" s="113">
        <v>39373</v>
      </c>
      <c r="X119" s="134">
        <v>1.9</v>
      </c>
      <c r="Y119" s="135">
        <f>1.8*17/31+1.9*14/31</f>
        <v>1.8451612903225807</v>
      </c>
      <c r="Z119" s="137">
        <f t="shared" si="16"/>
        <v>111.06796116504856</v>
      </c>
    </row>
    <row r="120" spans="2:26" ht="12" hidden="1" customHeight="1">
      <c r="B120" s="103" t="s">
        <v>226</v>
      </c>
      <c r="C120" s="270" t="s">
        <v>226</v>
      </c>
      <c r="D120" s="161">
        <v>99.347623485554521</v>
      </c>
      <c r="E120" s="159">
        <v>94.947569113441347</v>
      </c>
      <c r="F120" s="162">
        <v>97.361237488626031</v>
      </c>
      <c r="G120" s="130">
        <v>328314</v>
      </c>
      <c r="H120" s="129">
        <v>175.8</v>
      </c>
      <c r="I120" s="130">
        <f t="shared" si="10"/>
        <v>1867.5426621160409</v>
      </c>
      <c r="J120" s="130">
        <f t="shared" si="17"/>
        <v>2251.0593538954586</v>
      </c>
      <c r="K120" s="133">
        <f t="shared" si="13"/>
        <v>98.497974679660999</v>
      </c>
      <c r="L120" s="130">
        <f t="shared" si="18"/>
        <v>8645.5440606507746</v>
      </c>
      <c r="M120" s="130">
        <f t="shared" si="18"/>
        <v>6527.350942406053</v>
      </c>
      <c r="N120" s="130">
        <f t="shared" si="11"/>
        <v>7907.3708064414104</v>
      </c>
      <c r="O120" s="132">
        <f t="shared" si="14"/>
        <v>99.170654339468129</v>
      </c>
      <c r="P120" s="368">
        <v>173700</v>
      </c>
      <c r="Q120" s="368">
        <v>20460</v>
      </c>
      <c r="R120" s="130">
        <f t="shared" si="12"/>
        <v>97080</v>
      </c>
      <c r="S120" s="133">
        <f t="shared" si="15"/>
        <v>114.25881245218619</v>
      </c>
      <c r="T120" s="159">
        <v>104.82686253934943</v>
      </c>
      <c r="U120" s="133">
        <v>98.497974679660999</v>
      </c>
      <c r="V120" s="133">
        <v>99.934632223810283</v>
      </c>
      <c r="W120" s="113">
        <v>39405</v>
      </c>
      <c r="X120" s="134">
        <v>1.8</v>
      </c>
      <c r="Y120" s="135">
        <f>1.9*18/30+1.8*12/30</f>
        <v>1.8599999999999999</v>
      </c>
      <c r="Z120" s="137">
        <f t="shared" si="16"/>
        <v>111.96116504854371</v>
      </c>
    </row>
    <row r="121" spans="2:26" ht="12" hidden="1" customHeight="1">
      <c r="B121" s="105" t="s">
        <v>227</v>
      </c>
      <c r="C121" s="271" t="s">
        <v>227</v>
      </c>
      <c r="D121" s="161">
        <v>99.347623485554521</v>
      </c>
      <c r="E121" s="159">
        <v>94.947569113441347</v>
      </c>
      <c r="F121" s="162">
        <v>98.089171974522287</v>
      </c>
      <c r="G121" s="130">
        <v>713663</v>
      </c>
      <c r="H121" s="129">
        <v>168.3</v>
      </c>
      <c r="I121" s="130">
        <f t="shared" si="10"/>
        <v>4240.4218657159827</v>
      </c>
      <c r="J121" s="130">
        <f t="shared" si="17"/>
        <v>2245.1874167574879</v>
      </c>
      <c r="K121" s="133">
        <f t="shared" si="13"/>
        <v>98.241040576819358</v>
      </c>
      <c r="L121" s="130">
        <f t="shared" si="18"/>
        <v>8649.9758401132949</v>
      </c>
      <c r="M121" s="130">
        <f t="shared" si="18"/>
        <v>6529.4440241395541</v>
      </c>
      <c r="N121" s="130">
        <f t="shared" si="11"/>
        <v>7910.9875685675161</v>
      </c>
      <c r="O121" s="132">
        <f t="shared" si="14"/>
        <v>99.216014127875169</v>
      </c>
      <c r="P121" s="368">
        <v>176600</v>
      </c>
      <c r="Q121" s="368">
        <v>20450</v>
      </c>
      <c r="R121" s="130">
        <f t="shared" si="12"/>
        <v>98525</v>
      </c>
      <c r="S121" s="133">
        <f t="shared" si="15"/>
        <v>115.95951274054022</v>
      </c>
      <c r="T121" s="159">
        <v>102.30849947534104</v>
      </c>
      <c r="U121" s="133">
        <v>98.241040576819358</v>
      </c>
      <c r="V121" s="133">
        <v>99.164353746783775</v>
      </c>
      <c r="W121" s="113">
        <v>39435</v>
      </c>
      <c r="X121" s="134">
        <v>1.7</v>
      </c>
      <c r="Y121" s="135">
        <f>1.8*18/31+1.7*13/31</f>
        <v>1.758064516129032</v>
      </c>
      <c r="Z121" s="137">
        <f t="shared" si="16"/>
        <v>105.8252427184466</v>
      </c>
    </row>
    <row r="122" spans="2:26" ht="12" hidden="1" customHeight="1">
      <c r="B122" s="104" t="s">
        <v>261</v>
      </c>
      <c r="C122" s="272" t="s">
        <v>232</v>
      </c>
      <c r="D122" s="138">
        <v>99.440820130475316</v>
      </c>
      <c r="E122" s="139">
        <v>94.470924690181107</v>
      </c>
      <c r="F122" s="139">
        <v>98.817106460418557</v>
      </c>
      <c r="G122" s="140">
        <v>307343</v>
      </c>
      <c r="H122" s="141">
        <v>146.5</v>
      </c>
      <c r="I122" s="140">
        <f t="shared" si="10"/>
        <v>2097.9044368600685</v>
      </c>
      <c r="J122" s="140">
        <f t="shared" si="17"/>
        <v>2251.8982240375772</v>
      </c>
      <c r="K122" s="142">
        <f t="shared" si="13"/>
        <v>98.53468051323884</v>
      </c>
      <c r="L122" s="140">
        <f t="shared" si="18"/>
        <v>8646.3085023386648</v>
      </c>
      <c r="M122" s="140">
        <f t="shared" si="18"/>
        <v>6531.3174692545417</v>
      </c>
      <c r="N122" s="140">
        <f t="shared" si="11"/>
        <v>7909.2511490369634</v>
      </c>
      <c r="O122" s="143">
        <f t="shared" si="14"/>
        <v>99.194236742538379</v>
      </c>
      <c r="P122" s="367">
        <v>168000</v>
      </c>
      <c r="Q122" s="367">
        <v>20780</v>
      </c>
      <c r="R122" s="140">
        <f t="shared" si="12"/>
        <v>94390</v>
      </c>
      <c r="S122" s="142">
        <f t="shared" si="15"/>
        <v>111.09280291884893</v>
      </c>
      <c r="T122" s="141">
        <v>100.10493179433369</v>
      </c>
      <c r="U122" s="142">
        <v>98.53468051323884</v>
      </c>
      <c r="V122" s="142">
        <v>98.891127554047387</v>
      </c>
      <c r="W122" s="144"/>
      <c r="X122" s="145">
        <v>1.7</v>
      </c>
      <c r="Y122" s="146">
        <v>1.7</v>
      </c>
      <c r="Z122" s="147">
        <f t="shared" si="16"/>
        <v>102.33009708737866</v>
      </c>
    </row>
    <row r="123" spans="2:26" ht="12" hidden="1" customHeight="1">
      <c r="B123" s="103" t="s">
        <v>198</v>
      </c>
      <c r="C123" s="270" t="s">
        <v>198</v>
      </c>
      <c r="D123" s="128">
        <v>99.440820130475316</v>
      </c>
      <c r="E123" s="129">
        <v>94.470924690181107</v>
      </c>
      <c r="F123" s="129">
        <v>98.999090081892632</v>
      </c>
      <c r="G123" s="130">
        <v>303602</v>
      </c>
      <c r="H123" s="131">
        <v>169.9</v>
      </c>
      <c r="I123" s="130">
        <f t="shared" si="10"/>
        <v>1786.9452619187757</v>
      </c>
      <c r="J123" s="130">
        <f t="shared" si="17"/>
        <v>2251.8352048193656</v>
      </c>
      <c r="K123" s="133">
        <f t="shared" si="13"/>
        <v>98.531923026925114</v>
      </c>
      <c r="L123" s="130">
        <f t="shared" si="18"/>
        <v>8641.9281829591855</v>
      </c>
      <c r="M123" s="130">
        <f t="shared" si="18"/>
        <v>6532.9929545116129</v>
      </c>
      <c r="N123" s="130">
        <f t="shared" si="11"/>
        <v>7906.9812288354033</v>
      </c>
      <c r="O123" s="132">
        <f t="shared" si="14"/>
        <v>99.165768434019981</v>
      </c>
      <c r="P123" s="368">
        <v>182000</v>
      </c>
      <c r="Q123" s="368">
        <v>26460</v>
      </c>
      <c r="R123" s="130">
        <f t="shared" si="12"/>
        <v>104230</v>
      </c>
      <c r="S123" s="133">
        <f t="shared" si="15"/>
        <v>122.67404225269229</v>
      </c>
      <c r="T123" s="131">
        <v>100.20986358866737</v>
      </c>
      <c r="U123" s="133">
        <v>98.531923026925114</v>
      </c>
      <c r="V123" s="133">
        <v>98.912815534440597</v>
      </c>
      <c r="W123" s="116"/>
      <c r="X123" s="134">
        <v>1.7</v>
      </c>
      <c r="Y123" s="135">
        <v>1.7</v>
      </c>
      <c r="Z123" s="137">
        <f t="shared" si="16"/>
        <v>102.33009708737866</v>
      </c>
    </row>
    <row r="124" spans="2:26" ht="12" hidden="1" customHeight="1">
      <c r="B124" s="103" t="s">
        <v>219</v>
      </c>
      <c r="C124" s="270" t="s">
        <v>219</v>
      </c>
      <c r="D124" s="128">
        <v>99.534016775396083</v>
      </c>
      <c r="E124" s="129">
        <v>94.470924690181107</v>
      </c>
      <c r="F124" s="129">
        <v>98.999090081892632</v>
      </c>
      <c r="G124" s="130">
        <v>311090</v>
      </c>
      <c r="H124" s="131">
        <v>167.1</v>
      </c>
      <c r="I124" s="130">
        <f t="shared" si="10"/>
        <v>1861.6995810891683</v>
      </c>
      <c r="J124" s="130">
        <f t="shared" si="17"/>
        <v>2253.8202557898981</v>
      </c>
      <c r="K124" s="133">
        <f t="shared" si="13"/>
        <v>98.61878146532878</v>
      </c>
      <c r="L124" s="130">
        <f t="shared" si="18"/>
        <v>8635.8984102636077</v>
      </c>
      <c r="M124" s="130">
        <f t="shared" si="18"/>
        <v>6536.3816476924903</v>
      </c>
      <c r="N124" s="130">
        <f t="shared" si="11"/>
        <v>7904.2337156967087</v>
      </c>
      <c r="O124" s="132">
        <f t="shared" si="14"/>
        <v>99.131310371733505</v>
      </c>
      <c r="P124" s="368">
        <v>180400</v>
      </c>
      <c r="Q124" s="368">
        <v>31750</v>
      </c>
      <c r="R124" s="130">
        <f t="shared" si="12"/>
        <v>106075</v>
      </c>
      <c r="S124" s="133">
        <f t="shared" si="15"/>
        <v>124.84552462778791</v>
      </c>
      <c r="T124" s="131">
        <v>100.20986358866737</v>
      </c>
      <c r="U124" s="133">
        <v>98.61878146532878</v>
      </c>
      <c r="V124" s="133">
        <v>98.979957107326626</v>
      </c>
      <c r="W124" s="116">
        <v>39891</v>
      </c>
      <c r="X124" s="134">
        <v>1.6</v>
      </c>
      <c r="Y124" s="135">
        <f>1.7*18/31+1.6*13/31</f>
        <v>1.6580645161290324</v>
      </c>
      <c r="Z124" s="137">
        <f t="shared" si="16"/>
        <v>99.805825242718456</v>
      </c>
    </row>
    <row r="125" spans="2:26" ht="12" hidden="1" customHeight="1">
      <c r="B125" s="103" t="s">
        <v>200</v>
      </c>
      <c r="C125" s="270" t="s">
        <v>200</v>
      </c>
      <c r="D125" s="128">
        <v>100.09319664492079</v>
      </c>
      <c r="E125" s="129">
        <v>94.470924690181107</v>
      </c>
      <c r="F125" s="129">
        <v>99.727024567788902</v>
      </c>
      <c r="G125" s="130">
        <v>310625</v>
      </c>
      <c r="H125" s="131">
        <v>170.1</v>
      </c>
      <c r="I125" s="130">
        <f t="shared" si="10"/>
        <v>1826.1316872427983</v>
      </c>
      <c r="J125" s="130">
        <f t="shared" si="17"/>
        <v>2256.2729254970732</v>
      </c>
      <c r="K125" s="133">
        <f t="shared" si="13"/>
        <v>98.726101158297723</v>
      </c>
      <c r="L125" s="130">
        <f t="shared" si="18"/>
        <v>8626.5344772153712</v>
      </c>
      <c r="M125" s="130">
        <f t="shared" si="18"/>
        <v>6536.8644712395044</v>
      </c>
      <c r="N125" s="130">
        <f t="shared" si="11"/>
        <v>7898.3012980739159</v>
      </c>
      <c r="O125" s="132">
        <f t="shared" si="14"/>
        <v>99.05690868350257</v>
      </c>
      <c r="P125" s="368">
        <v>204500</v>
      </c>
      <c r="Q125" s="368">
        <v>32410</v>
      </c>
      <c r="R125" s="130">
        <f t="shared" si="12"/>
        <v>118455</v>
      </c>
      <c r="S125" s="133">
        <f t="shared" si="15"/>
        <v>139.41623021244041</v>
      </c>
      <c r="T125" s="131">
        <v>100.20986358866737</v>
      </c>
      <c r="U125" s="133">
        <v>98.726101158297723</v>
      </c>
      <c r="V125" s="133">
        <v>99.062915229991631</v>
      </c>
      <c r="W125" s="116">
        <v>39921</v>
      </c>
      <c r="X125" s="134">
        <v>1.7</v>
      </c>
      <c r="Y125" s="135">
        <f>1.6*17/30+1.7*13/30</f>
        <v>1.6433333333333333</v>
      </c>
      <c r="Z125" s="137">
        <f t="shared" si="16"/>
        <v>98.919093851132686</v>
      </c>
    </row>
    <row r="126" spans="2:26" ht="12" hidden="1" customHeight="1">
      <c r="B126" s="103" t="s">
        <v>220</v>
      </c>
      <c r="C126" s="270" t="s">
        <v>220</v>
      </c>
      <c r="D126" s="128">
        <v>100.18639328984158</v>
      </c>
      <c r="E126" s="129">
        <v>94.947569113441347</v>
      </c>
      <c r="F126" s="129">
        <v>100.72793448589627</v>
      </c>
      <c r="G126" s="130">
        <v>303784</v>
      </c>
      <c r="H126" s="131">
        <v>156.9</v>
      </c>
      <c r="I126" s="130">
        <f t="shared" si="10"/>
        <v>1936.1631612492033</v>
      </c>
      <c r="J126" s="130">
        <f t="shared" si="17"/>
        <v>2256.8062366753425</v>
      </c>
      <c r="K126" s="133">
        <f t="shared" si="13"/>
        <v>98.749436869478615</v>
      </c>
      <c r="L126" s="130">
        <f t="shared" si="18"/>
        <v>8626.3271015824666</v>
      </c>
      <c r="M126" s="130">
        <f t="shared" si="18"/>
        <v>6536.5273732183796</v>
      </c>
      <c r="N126" s="130">
        <f t="shared" si="11"/>
        <v>7898.0487152327387</v>
      </c>
      <c r="O126" s="132">
        <f t="shared" si="14"/>
        <v>99.053740904192892</v>
      </c>
      <c r="P126" s="368">
        <v>203400</v>
      </c>
      <c r="Q126" s="368">
        <v>32980</v>
      </c>
      <c r="R126" s="130">
        <f t="shared" si="12"/>
        <v>118190</v>
      </c>
      <c r="S126" s="133">
        <f t="shared" si="15"/>
        <v>139.10433707997413</v>
      </c>
      <c r="T126" s="131">
        <v>100.20986358866737</v>
      </c>
      <c r="U126" s="133">
        <v>98.749436869478615</v>
      </c>
      <c r="V126" s="133">
        <v>99.080953734734464</v>
      </c>
      <c r="W126" s="116">
        <v>39956</v>
      </c>
      <c r="X126" s="134">
        <v>1.9</v>
      </c>
      <c r="Y126" s="135">
        <f>1.7*22/31+1.9*9/31</f>
        <v>1.758064516129032</v>
      </c>
      <c r="Z126" s="137">
        <f t="shared" si="16"/>
        <v>105.8252427184466</v>
      </c>
    </row>
    <row r="127" spans="2:26" ht="12" hidden="1" customHeight="1">
      <c r="B127" s="103" t="s">
        <v>221</v>
      </c>
      <c r="C127" s="270" t="s">
        <v>221</v>
      </c>
      <c r="D127" s="128">
        <v>100.55917986952471</v>
      </c>
      <c r="E127" s="129">
        <v>95.042897998093409</v>
      </c>
      <c r="F127" s="129">
        <v>101.72884440400364</v>
      </c>
      <c r="G127" s="130">
        <v>510526</v>
      </c>
      <c r="H127" s="131">
        <v>170.6</v>
      </c>
      <c r="I127" s="130">
        <f t="shared" si="10"/>
        <v>2992.5322391559203</v>
      </c>
      <c r="J127" s="130">
        <f t="shared" si="17"/>
        <v>2264.1932091227122</v>
      </c>
      <c r="K127" s="133">
        <f t="shared" si="13"/>
        <v>99.072663275668788</v>
      </c>
      <c r="L127" s="130">
        <f t="shared" ref="L127:M142" si="19">AVERAGE(L91:L126)</f>
        <v>8626.8084099597581</v>
      </c>
      <c r="M127" s="130">
        <f t="shared" si="19"/>
        <v>6532.8198002522231</v>
      </c>
      <c r="N127" s="130">
        <f t="shared" si="11"/>
        <v>7897.0702321745102</v>
      </c>
      <c r="O127" s="132">
        <f t="shared" si="14"/>
        <v>99.041469213953519</v>
      </c>
      <c r="P127" s="368">
        <v>179500</v>
      </c>
      <c r="Q127" s="368">
        <v>40950</v>
      </c>
      <c r="R127" s="130">
        <f t="shared" si="12"/>
        <v>110225</v>
      </c>
      <c r="S127" s="133">
        <f t="shared" si="15"/>
        <v>129.72988877773201</v>
      </c>
      <c r="T127" s="131">
        <v>100.20986358866737</v>
      </c>
      <c r="U127" s="133">
        <v>99.072663275668788</v>
      </c>
      <c r="V127" s="133">
        <v>99.330807746719472</v>
      </c>
      <c r="W127" s="116">
        <v>39982</v>
      </c>
      <c r="X127" s="134">
        <v>2</v>
      </c>
      <c r="Y127" s="135">
        <f>1.9*17/30+2*13/30</f>
        <v>1.9433333333333334</v>
      </c>
      <c r="Z127" s="137">
        <f t="shared" si="16"/>
        <v>116.97734627831717</v>
      </c>
    </row>
    <row r="128" spans="2:26" ht="12" hidden="1" customHeight="1">
      <c r="B128" s="103" t="s">
        <v>203</v>
      </c>
      <c r="C128" s="270" t="s">
        <v>203</v>
      </c>
      <c r="D128" s="128">
        <v>100.83876980428705</v>
      </c>
      <c r="E128" s="129">
        <v>96.186844613918012</v>
      </c>
      <c r="F128" s="129">
        <v>106.00545950864422</v>
      </c>
      <c r="G128" s="130">
        <v>507942</v>
      </c>
      <c r="H128" s="131">
        <v>171</v>
      </c>
      <c r="I128" s="130">
        <f t="shared" si="10"/>
        <v>2970.4210526315787</v>
      </c>
      <c r="J128" s="130">
        <f t="shared" si="17"/>
        <v>2266.288128412712</v>
      </c>
      <c r="K128" s="133">
        <f t="shared" si="13"/>
        <v>99.164329142597268</v>
      </c>
      <c r="L128" s="130">
        <f t="shared" si="19"/>
        <v>8625.3586435697525</v>
      </c>
      <c r="M128" s="130">
        <f t="shared" si="19"/>
        <v>6527.0925724814515</v>
      </c>
      <c r="N128" s="130">
        <f t="shared" si="11"/>
        <v>7894.1298049188845</v>
      </c>
      <c r="O128" s="132">
        <f t="shared" si="14"/>
        <v>99.004591710404483</v>
      </c>
      <c r="P128" s="368">
        <v>208000</v>
      </c>
      <c r="Q128" s="368">
        <v>30180</v>
      </c>
      <c r="R128" s="130">
        <f t="shared" si="12"/>
        <v>119090</v>
      </c>
      <c r="S128" s="133">
        <f t="shared" si="15"/>
        <v>140.16359677514271</v>
      </c>
      <c r="T128" s="131">
        <v>100.31479538300104</v>
      </c>
      <c r="U128" s="133">
        <v>99.164329142597268</v>
      </c>
      <c r="V128" s="133">
        <v>99.425484979168928</v>
      </c>
      <c r="W128" s="116">
        <v>40012</v>
      </c>
      <c r="X128" s="134">
        <v>1.9</v>
      </c>
      <c r="Y128" s="135">
        <f>2*17/31+1.9*14/31</f>
        <v>1.9548387096774191</v>
      </c>
      <c r="Z128" s="137">
        <f t="shared" si="16"/>
        <v>117.66990291262135</v>
      </c>
    </row>
    <row r="129" spans="2:26" ht="12" hidden="1" customHeight="1">
      <c r="B129" s="103" t="s">
        <v>204</v>
      </c>
      <c r="C129" s="270" t="s">
        <v>204</v>
      </c>
      <c r="D129" s="128">
        <v>101.1183597390494</v>
      </c>
      <c r="E129" s="129">
        <v>97.330791229742587</v>
      </c>
      <c r="F129" s="129">
        <v>107.5523202911738</v>
      </c>
      <c r="G129" s="130">
        <v>313321</v>
      </c>
      <c r="H129" s="131">
        <v>154.6</v>
      </c>
      <c r="I129" s="130">
        <f t="shared" si="10"/>
        <v>2026.6558861578267</v>
      </c>
      <c r="J129" s="130">
        <f t="shared" si="17"/>
        <v>2270.4318841250256</v>
      </c>
      <c r="K129" s="133">
        <f t="shared" si="13"/>
        <v>99.345644461770831</v>
      </c>
      <c r="L129" s="130">
        <f t="shared" si="19"/>
        <v>8634.3963836689127</v>
      </c>
      <c r="M129" s="130">
        <f t="shared" si="19"/>
        <v>6524.7618106059363</v>
      </c>
      <c r="N129" s="130">
        <f t="shared" si="11"/>
        <v>7899.205713575082</v>
      </c>
      <c r="O129" s="132">
        <f t="shared" si="14"/>
        <v>99.068251452071394</v>
      </c>
      <c r="P129" s="368">
        <v>203500</v>
      </c>
      <c r="Q129" s="368">
        <v>28140</v>
      </c>
      <c r="R129" s="130">
        <f t="shared" si="12"/>
        <v>115820</v>
      </c>
      <c r="S129" s="133">
        <f t="shared" si="15"/>
        <v>136.31495321603012</v>
      </c>
      <c r="T129" s="131">
        <v>100.31479538300104</v>
      </c>
      <c r="U129" s="133">
        <v>99.345644461770831</v>
      </c>
      <c r="V129" s="133">
        <v>99.565641720890085</v>
      </c>
      <c r="W129" s="116">
        <v>40045</v>
      </c>
      <c r="X129" s="134">
        <v>1.8</v>
      </c>
      <c r="Y129" s="135">
        <f>1.9*19/31+1.8*12/31</f>
        <v>1.8612903225806452</v>
      </c>
      <c r="Z129" s="137">
        <f t="shared" si="16"/>
        <v>112.03883495145632</v>
      </c>
    </row>
    <row r="130" spans="2:26" ht="12" hidden="1" customHeight="1">
      <c r="B130" s="103" t="s">
        <v>224</v>
      </c>
      <c r="C130" s="270" t="s">
        <v>224</v>
      </c>
      <c r="D130" s="128">
        <v>101.30475302889097</v>
      </c>
      <c r="E130" s="129">
        <v>97.902764537654903</v>
      </c>
      <c r="F130" s="129">
        <v>107.8252957233849</v>
      </c>
      <c r="G130" s="130">
        <v>302698</v>
      </c>
      <c r="H130" s="131">
        <v>164.4</v>
      </c>
      <c r="I130" s="130">
        <f t="shared" si="10"/>
        <v>1841.2287104622872</v>
      </c>
      <c r="J130" s="130">
        <f t="shared" si="17"/>
        <v>2272.1282834785425</v>
      </c>
      <c r="K130" s="133">
        <f t="shared" si="13"/>
        <v>99.419872580314291</v>
      </c>
      <c r="L130" s="130">
        <f t="shared" si="19"/>
        <v>8643.2129498819377</v>
      </c>
      <c r="M130" s="130">
        <f t="shared" si="19"/>
        <v>6525.9774164561013</v>
      </c>
      <c r="N130" s="130">
        <f t="shared" si="11"/>
        <v>7905.3734062751846</v>
      </c>
      <c r="O130" s="132">
        <f t="shared" si="14"/>
        <v>99.145603853496112</v>
      </c>
      <c r="P130" s="368">
        <v>192200</v>
      </c>
      <c r="Q130" s="368">
        <v>20090</v>
      </c>
      <c r="R130" s="130">
        <f t="shared" si="12"/>
        <v>106145</v>
      </c>
      <c r="S130" s="133">
        <f t="shared" si="15"/>
        <v>124.9279114929677</v>
      </c>
      <c r="T130" s="131">
        <v>100.41972717733474</v>
      </c>
      <c r="U130" s="133">
        <v>99.419872580314291</v>
      </c>
      <c r="V130" s="133">
        <v>99.646839573837937</v>
      </c>
      <c r="W130" s="116">
        <v>40075</v>
      </c>
      <c r="X130" s="134">
        <v>1.7</v>
      </c>
      <c r="Y130" s="135">
        <f>1.8*18/30+1.7*12/30</f>
        <v>1.7599999999999998</v>
      </c>
      <c r="Z130" s="137">
        <f t="shared" si="16"/>
        <v>105.94174757281553</v>
      </c>
    </row>
    <row r="131" spans="2:26" ht="12" hidden="1" customHeight="1">
      <c r="B131" s="103" t="s">
        <v>225</v>
      </c>
      <c r="C131" s="270" t="s">
        <v>225</v>
      </c>
      <c r="D131" s="128">
        <v>101.39794967381174</v>
      </c>
      <c r="E131" s="129">
        <v>98.379408960915143</v>
      </c>
      <c r="F131" s="129">
        <v>107.5523202911738</v>
      </c>
      <c r="G131" s="130">
        <v>303713</v>
      </c>
      <c r="H131" s="131">
        <v>167.6</v>
      </c>
      <c r="I131" s="130">
        <f t="shared" si="10"/>
        <v>1812.1300715990453</v>
      </c>
      <c r="J131" s="130">
        <f t="shared" si="17"/>
        <v>2271.6480513498914</v>
      </c>
      <c r="K131" s="133">
        <f t="shared" si="13"/>
        <v>99.398859410685333</v>
      </c>
      <c r="L131" s="130">
        <f t="shared" si="19"/>
        <v>8643.6077540453243</v>
      </c>
      <c r="M131" s="130">
        <f t="shared" si="19"/>
        <v>6526.8101224687725</v>
      </c>
      <c r="N131" s="130">
        <f t="shared" si="11"/>
        <v>7905.920815708756</v>
      </c>
      <c r="O131" s="132">
        <f t="shared" si="14"/>
        <v>99.152469214062563</v>
      </c>
      <c r="P131" s="368">
        <v>167900</v>
      </c>
      <c r="Q131" s="368">
        <v>18050</v>
      </c>
      <c r="R131" s="130">
        <f t="shared" si="12"/>
        <v>92975</v>
      </c>
      <c r="S131" s="133">
        <f t="shared" si="15"/>
        <v>109.42741128700052</v>
      </c>
      <c r="T131" s="131">
        <v>100.73452256033579</v>
      </c>
      <c r="U131" s="133">
        <v>99.398859410685333</v>
      </c>
      <c r="V131" s="133">
        <v>99.702054945655988</v>
      </c>
      <c r="W131" s="116">
        <v>40107</v>
      </c>
      <c r="X131" s="134">
        <v>1.8</v>
      </c>
      <c r="Y131" s="135">
        <f>1.7*20/31+1.8*11/31</f>
        <v>1.7354838709677418</v>
      </c>
      <c r="Z131" s="137">
        <f t="shared" si="16"/>
        <v>104.46601941747574</v>
      </c>
    </row>
    <row r="132" spans="2:26" ht="12" hidden="1" customHeight="1">
      <c r="B132" s="103" t="s">
        <v>226</v>
      </c>
      <c r="C132" s="270" t="s">
        <v>226</v>
      </c>
      <c r="D132" s="128">
        <v>101.58434296365331</v>
      </c>
      <c r="E132" s="129">
        <v>98.474737845567191</v>
      </c>
      <c r="F132" s="129">
        <v>106.1874431301183</v>
      </c>
      <c r="G132" s="130">
        <v>324667</v>
      </c>
      <c r="H132" s="131">
        <v>165.7</v>
      </c>
      <c r="I132" s="130">
        <f t="shared" si="10"/>
        <v>1959.3663246831625</v>
      </c>
      <c r="J132" s="130">
        <f t="shared" si="17"/>
        <v>2279.3000232304848</v>
      </c>
      <c r="K132" s="133">
        <f t="shared" si="13"/>
        <v>99.733681205250576</v>
      </c>
      <c r="L132" s="130">
        <f t="shared" si="19"/>
        <v>8641.1524138799177</v>
      </c>
      <c r="M132" s="130">
        <f t="shared" si="19"/>
        <v>6529.1104036484603</v>
      </c>
      <c r="N132" s="130">
        <f t="shared" si="11"/>
        <v>7905.1227713082444</v>
      </c>
      <c r="O132" s="132">
        <f t="shared" si="14"/>
        <v>99.14246050354069</v>
      </c>
      <c r="P132" s="368">
        <v>162900</v>
      </c>
      <c r="Q132" s="368">
        <v>21830</v>
      </c>
      <c r="R132" s="130">
        <f t="shared" si="12"/>
        <v>92365</v>
      </c>
      <c r="S132" s="133">
        <f t="shared" si="15"/>
        <v>108.70946860471959</v>
      </c>
      <c r="T132" s="131">
        <v>100.83945435466946</v>
      </c>
      <c r="U132" s="133">
        <v>99.733681205250576</v>
      </c>
      <c r="V132" s="133">
        <v>99.984691710168661</v>
      </c>
      <c r="W132" s="116"/>
      <c r="X132" s="134"/>
      <c r="Y132" s="135">
        <v>1.8</v>
      </c>
      <c r="Z132" s="137">
        <f t="shared" si="16"/>
        <v>108.34951456310682</v>
      </c>
    </row>
    <row r="133" spans="2:26" ht="12" hidden="1" customHeight="1">
      <c r="B133" s="105" t="s">
        <v>227</v>
      </c>
      <c r="C133" s="271" t="s">
        <v>227</v>
      </c>
      <c r="D133" s="148">
        <v>101.58434296365331</v>
      </c>
      <c r="E133" s="149">
        <v>98.474737845567191</v>
      </c>
      <c r="F133" s="149">
        <v>105.00454959053685</v>
      </c>
      <c r="G133" s="150">
        <v>691463</v>
      </c>
      <c r="H133" s="151">
        <v>159.4</v>
      </c>
      <c r="I133" s="150">
        <f t="shared" si="10"/>
        <v>4337.9109159347554</v>
      </c>
      <c r="J133" s="150">
        <f t="shared" si="17"/>
        <v>2287.424110748716</v>
      </c>
      <c r="K133" s="152">
        <f t="shared" si="13"/>
        <v>100.08916102202276</v>
      </c>
      <c r="L133" s="150">
        <f t="shared" si="19"/>
        <v>8644.9344253765812</v>
      </c>
      <c r="M133" s="150">
        <f t="shared" si="19"/>
        <v>6530.9745815275846</v>
      </c>
      <c r="N133" s="150">
        <f t="shared" si="11"/>
        <v>7908.2364332241741</v>
      </c>
      <c r="O133" s="153">
        <f t="shared" si="14"/>
        <v>99.181510637542644</v>
      </c>
      <c r="P133" s="369">
        <v>168700</v>
      </c>
      <c r="Q133" s="369">
        <v>23070</v>
      </c>
      <c r="R133" s="150">
        <f t="shared" si="12"/>
        <v>95885</v>
      </c>
      <c r="S133" s="152">
        <f t="shared" si="15"/>
        <v>112.85235096804567</v>
      </c>
      <c r="T133" s="151">
        <v>101.15424973767053</v>
      </c>
      <c r="U133" s="152">
        <v>100.08916102202276</v>
      </c>
      <c r="V133" s="152">
        <v>100.33093616047481</v>
      </c>
      <c r="W133" s="154">
        <v>40165</v>
      </c>
      <c r="X133" s="155">
        <v>1.7</v>
      </c>
      <c r="Y133" s="156">
        <f>1.8*17/31+1.7*14/31</f>
        <v>1.7548387096774194</v>
      </c>
      <c r="Z133" s="157">
        <f t="shared" si="16"/>
        <v>105.63106796116506</v>
      </c>
    </row>
    <row r="134" spans="2:26" ht="12" hidden="1" customHeight="1">
      <c r="B134" s="104" t="s">
        <v>233</v>
      </c>
      <c r="C134" s="272" t="s">
        <v>234</v>
      </c>
      <c r="D134" s="161">
        <v>101.21155638397018</v>
      </c>
      <c r="E134" s="159">
        <v>99.237368922783588</v>
      </c>
      <c r="F134" s="162">
        <v>102.18380345768881</v>
      </c>
      <c r="G134" s="130">
        <v>294889</v>
      </c>
      <c r="H134" s="129">
        <v>140.6</v>
      </c>
      <c r="I134" s="130">
        <f t="shared" si="10"/>
        <v>2097.3613086770984</v>
      </c>
      <c r="J134" s="130">
        <f t="shared" si="17"/>
        <v>2287.3788500668015</v>
      </c>
      <c r="K134" s="133">
        <f t="shared" si="13"/>
        <v>100.08718058312698</v>
      </c>
      <c r="L134" s="130">
        <f t="shared" si="19"/>
        <v>8640.9326038592644</v>
      </c>
      <c r="M134" s="130">
        <f t="shared" si="19"/>
        <v>6532.6683199033505</v>
      </c>
      <c r="N134" s="130">
        <f t="shared" si="11"/>
        <v>7906.2194684909746</v>
      </c>
      <c r="O134" s="132">
        <f t="shared" si="14"/>
        <v>99.156214781654867</v>
      </c>
      <c r="P134" s="368">
        <v>169900</v>
      </c>
      <c r="Q134" s="368">
        <v>23090</v>
      </c>
      <c r="R134" s="130">
        <f t="shared" si="12"/>
        <v>96495</v>
      </c>
      <c r="S134" s="133">
        <f t="shared" si="15"/>
        <v>113.5702936503266</v>
      </c>
      <c r="T134" s="159">
        <v>101.25918153200421</v>
      </c>
      <c r="U134" s="133">
        <v>100.08718058312698</v>
      </c>
      <c r="V134" s="133">
        <v>100.35322479852209</v>
      </c>
      <c r="W134" s="113">
        <v>39839</v>
      </c>
      <c r="X134" s="134">
        <v>1.6</v>
      </c>
      <c r="Y134" s="135">
        <f>1.7*25/31+1.6*6/31</f>
        <v>1.6806451612903226</v>
      </c>
      <c r="Z134" s="137">
        <f t="shared" si="16"/>
        <v>101.16504854368932</v>
      </c>
    </row>
    <row r="135" spans="2:26" ht="12" hidden="1" customHeight="1">
      <c r="B135" s="103" t="s">
        <v>198</v>
      </c>
      <c r="C135" s="270" t="s">
        <v>198</v>
      </c>
      <c r="D135" s="161">
        <v>101.1183597390494</v>
      </c>
      <c r="E135" s="159">
        <v>99.332697807435636</v>
      </c>
      <c r="F135" s="162">
        <v>102.36578707916287</v>
      </c>
      <c r="G135" s="130">
        <v>287142</v>
      </c>
      <c r="H135" s="129">
        <v>152.69999999999999</v>
      </c>
      <c r="I135" s="130">
        <f t="shared" si="10"/>
        <v>1880.4322200392928</v>
      </c>
      <c r="J135" s="130">
        <f t="shared" si="17"/>
        <v>2295.1694299101782</v>
      </c>
      <c r="K135" s="133">
        <f t="shared" si="13"/>
        <v>100.42806734598592</v>
      </c>
      <c r="L135" s="130">
        <f t="shared" si="19"/>
        <v>8636.0973984109114</v>
      </c>
      <c r="M135" s="130">
        <f t="shared" si="19"/>
        <v>6533.742439900665</v>
      </c>
      <c r="N135" s="130">
        <f t="shared" si="11"/>
        <v>7903.4436154014038</v>
      </c>
      <c r="O135" s="132">
        <f t="shared" si="14"/>
        <v>99.121401292572159</v>
      </c>
      <c r="P135" s="368">
        <v>169200</v>
      </c>
      <c r="Q135" s="368">
        <v>26510</v>
      </c>
      <c r="R135" s="130">
        <f t="shared" si="12"/>
        <v>97855</v>
      </c>
      <c r="S135" s="133">
        <f t="shared" si="15"/>
        <v>115.17095274524804</v>
      </c>
      <c r="T135" s="159">
        <v>101.25918153200421</v>
      </c>
      <c r="U135" s="133">
        <v>100.42806734598592</v>
      </c>
      <c r="V135" s="133">
        <v>100.61673026621207</v>
      </c>
      <c r="W135" s="114"/>
      <c r="X135" s="134"/>
      <c r="Y135" s="135">
        <v>1.6</v>
      </c>
      <c r="Z135" s="137">
        <f t="shared" si="16"/>
        <v>96.3106796116505</v>
      </c>
    </row>
    <row r="136" spans="2:26" ht="12" hidden="1" customHeight="1">
      <c r="B136" s="103" t="s">
        <v>219</v>
      </c>
      <c r="C136" s="270" t="s">
        <v>219</v>
      </c>
      <c r="D136" s="161">
        <v>100.93196644920783</v>
      </c>
      <c r="E136" s="159">
        <v>99.332697807435636</v>
      </c>
      <c r="F136" s="162">
        <v>102.18380345768881</v>
      </c>
      <c r="G136" s="130">
        <v>292785</v>
      </c>
      <c r="H136" s="129">
        <v>149.30000000000001</v>
      </c>
      <c r="I136" s="130">
        <f t="shared" si="10"/>
        <v>1961.0515740120561</v>
      </c>
      <c r="J136" s="130">
        <f t="shared" si="17"/>
        <v>2303.4487626537525</v>
      </c>
      <c r="K136" s="133">
        <f t="shared" si="13"/>
        <v>100.79034011570648</v>
      </c>
      <c r="L136" s="130">
        <f t="shared" si="19"/>
        <v>8629.4334372556568</v>
      </c>
      <c r="M136" s="130">
        <f t="shared" si="19"/>
        <v>6536.3741743423498</v>
      </c>
      <c r="N136" s="130">
        <f t="shared" si="11"/>
        <v>7900.0191293486914</v>
      </c>
      <c r="O136" s="132">
        <f t="shared" si="14"/>
        <v>99.078452943375325</v>
      </c>
      <c r="P136" s="368">
        <v>172900</v>
      </c>
      <c r="Q136" s="368">
        <v>31830</v>
      </c>
      <c r="R136" s="130">
        <f t="shared" si="12"/>
        <v>102365</v>
      </c>
      <c r="S136" s="133">
        <f t="shared" si="15"/>
        <v>120.47902077325958</v>
      </c>
      <c r="T136" s="159">
        <v>101.46904512067157</v>
      </c>
      <c r="U136" s="133">
        <v>100.79034011570648</v>
      </c>
      <c r="V136" s="133">
        <v>100.94440615183356</v>
      </c>
      <c r="W136" s="114"/>
      <c r="X136" s="134"/>
      <c r="Y136" s="135">
        <v>1.6</v>
      </c>
      <c r="Z136" s="137">
        <f t="shared" si="16"/>
        <v>96.3106796116505</v>
      </c>
    </row>
    <row r="137" spans="2:26" ht="12" hidden="1" customHeight="1">
      <c r="B137" s="103" t="s">
        <v>200</v>
      </c>
      <c r="C137" s="270" t="s">
        <v>200</v>
      </c>
      <c r="D137" s="161">
        <v>100.83876980428705</v>
      </c>
      <c r="E137" s="159">
        <v>99.618684461391794</v>
      </c>
      <c r="F137" s="162">
        <v>101.54686078252956</v>
      </c>
      <c r="G137" s="130">
        <v>294153</v>
      </c>
      <c r="H137" s="129">
        <v>157.1</v>
      </c>
      <c r="I137" s="130">
        <f t="shared" si="10"/>
        <v>1872.3933800127309</v>
      </c>
      <c r="J137" s="130">
        <f t="shared" si="17"/>
        <v>2307.3039037179133</v>
      </c>
      <c r="K137" s="133">
        <f t="shared" si="13"/>
        <v>100.95902673263959</v>
      </c>
      <c r="L137" s="130">
        <f t="shared" si="19"/>
        <v>8620.251032734981</v>
      </c>
      <c r="M137" s="130">
        <f t="shared" si="19"/>
        <v>6536.4956791851928</v>
      </c>
      <c r="N137" s="130">
        <f t="shared" si="11"/>
        <v>7894.079062362106</v>
      </c>
      <c r="O137" s="132">
        <f t="shared" si="14"/>
        <v>99.003955320296853</v>
      </c>
      <c r="P137" s="368">
        <v>204700</v>
      </c>
      <c r="Q137" s="368">
        <v>32820</v>
      </c>
      <c r="R137" s="130">
        <f t="shared" si="12"/>
        <v>118760</v>
      </c>
      <c r="S137" s="133">
        <f t="shared" si="15"/>
        <v>139.7752015535809</v>
      </c>
      <c r="T137" s="159">
        <v>100.20986358866737</v>
      </c>
      <c r="U137" s="133">
        <v>100.95902673263959</v>
      </c>
      <c r="V137" s="133">
        <v>100.78896669895788</v>
      </c>
      <c r="W137" s="113">
        <v>39923</v>
      </c>
      <c r="X137" s="134">
        <v>1.7</v>
      </c>
      <c r="Y137" s="135">
        <f>1.6*20/30+1.7*10/30</f>
        <v>1.6333333333333333</v>
      </c>
      <c r="Z137" s="137">
        <f t="shared" si="16"/>
        <v>98.317152103559877</v>
      </c>
    </row>
    <row r="138" spans="2:26" ht="12" hidden="1" customHeight="1">
      <c r="B138" s="103" t="s">
        <v>220</v>
      </c>
      <c r="C138" s="270" t="s">
        <v>220</v>
      </c>
      <c r="D138" s="161">
        <v>100.74557315936626</v>
      </c>
      <c r="E138" s="159">
        <v>99.523355576739746</v>
      </c>
      <c r="F138" s="162">
        <v>101.45586897179254</v>
      </c>
      <c r="G138" s="130">
        <v>287573</v>
      </c>
      <c r="H138" s="129">
        <v>141.19999999999999</v>
      </c>
      <c r="I138" s="130">
        <f t="shared" si="10"/>
        <v>2036.6359773371107</v>
      </c>
      <c r="J138" s="130">
        <f t="shared" si="17"/>
        <v>2315.6766383919053</v>
      </c>
      <c r="K138" s="133">
        <f t="shared" si="13"/>
        <v>101.3253864230188</v>
      </c>
      <c r="L138" s="130">
        <f t="shared" si="19"/>
        <v>8621.091339199842</v>
      </c>
      <c r="M138" s="130">
        <f t="shared" si="19"/>
        <v>6536.342781384782</v>
      </c>
      <c r="N138" s="130">
        <f t="shared" si="11"/>
        <v>7894.57324513396</v>
      </c>
      <c r="O138" s="132">
        <f t="shared" si="14"/>
        <v>99.010153136239438</v>
      </c>
      <c r="P138" s="368">
        <v>203800</v>
      </c>
      <c r="Q138" s="368">
        <v>30390</v>
      </c>
      <c r="R138" s="130">
        <f t="shared" si="12"/>
        <v>117095</v>
      </c>
      <c r="S138" s="133">
        <f t="shared" si="15"/>
        <v>137.815571117519</v>
      </c>
      <c r="T138" s="159">
        <v>100.20986358866737</v>
      </c>
      <c r="U138" s="133">
        <v>101.3253864230188</v>
      </c>
      <c r="V138" s="133">
        <v>101.07216273962102</v>
      </c>
      <c r="W138" s="113">
        <v>39960</v>
      </c>
      <c r="X138" s="134">
        <v>1.8</v>
      </c>
      <c r="Y138" s="135">
        <f>1.7*26/31+1.8*5/31</f>
        <v>1.7161290322580642</v>
      </c>
      <c r="Z138" s="137">
        <f t="shared" si="16"/>
        <v>103.3009708737864</v>
      </c>
    </row>
    <row r="139" spans="2:26" ht="12" hidden="1" customHeight="1">
      <c r="B139" s="103" t="s">
        <v>221</v>
      </c>
      <c r="C139" s="270" t="s">
        <v>221</v>
      </c>
      <c r="D139" s="161">
        <v>100.74557315936626</v>
      </c>
      <c r="E139" s="159">
        <v>99.618684461391794</v>
      </c>
      <c r="F139" s="162">
        <v>101.54686078252956</v>
      </c>
      <c r="G139" s="130">
        <v>442772</v>
      </c>
      <c r="H139" s="129">
        <v>159.5</v>
      </c>
      <c r="I139" s="130">
        <f t="shared" si="10"/>
        <v>2776</v>
      </c>
      <c r="J139" s="130">
        <f t="shared" si="17"/>
        <v>2297.6322851289119</v>
      </c>
      <c r="K139" s="133">
        <f t="shared" si="13"/>
        <v>100.53583271901118</v>
      </c>
      <c r="L139" s="130">
        <f t="shared" si="19"/>
        <v>8621.5383208442836</v>
      </c>
      <c r="M139" s="130">
        <f t="shared" si="19"/>
        <v>6532.518969756582</v>
      </c>
      <c r="N139" s="130">
        <f t="shared" si="11"/>
        <v>7893.5318896947974</v>
      </c>
      <c r="O139" s="132">
        <f t="shared" si="14"/>
        <v>98.997092929145367</v>
      </c>
      <c r="P139" s="368">
        <v>193600</v>
      </c>
      <c r="Q139" s="368">
        <v>35570</v>
      </c>
      <c r="R139" s="130">
        <f t="shared" si="12"/>
        <v>114585</v>
      </c>
      <c r="S139" s="133">
        <f t="shared" si="15"/>
        <v>134.86141352321545</v>
      </c>
      <c r="T139" s="159">
        <v>100.20986358866737</v>
      </c>
      <c r="U139" s="133">
        <v>100.53583271901118</v>
      </c>
      <c r="V139" s="133">
        <v>100.46183772642313</v>
      </c>
      <c r="W139" s="114"/>
      <c r="X139" s="134"/>
      <c r="Y139" s="135">
        <v>1.8</v>
      </c>
      <c r="Z139" s="137">
        <f t="shared" si="16"/>
        <v>108.34951456310682</v>
      </c>
    </row>
    <row r="140" spans="2:26" ht="12" hidden="1" customHeight="1">
      <c r="B140" s="103" t="s">
        <v>203</v>
      </c>
      <c r="C140" s="270" t="s">
        <v>203</v>
      </c>
      <c r="D140" s="161">
        <v>100.65237651444548</v>
      </c>
      <c r="E140" s="159">
        <v>99.618684461391794</v>
      </c>
      <c r="F140" s="162">
        <v>101.18289353958144</v>
      </c>
      <c r="G140" s="130">
        <v>463935</v>
      </c>
      <c r="H140" s="129">
        <v>161.9</v>
      </c>
      <c r="I140" s="130">
        <f t="shared" si="10"/>
        <v>2865.5651636812845</v>
      </c>
      <c r="J140" s="130">
        <f t="shared" si="17"/>
        <v>2288.8942943830539</v>
      </c>
      <c r="K140" s="133">
        <f t="shared" si="13"/>
        <v>100.15349078309232</v>
      </c>
      <c r="L140" s="130">
        <f t="shared" si="19"/>
        <v>8620.6921630899578</v>
      </c>
      <c r="M140" s="130">
        <f t="shared" si="19"/>
        <v>6526.7000522498201</v>
      </c>
      <c r="N140" s="130">
        <f t="shared" si="11"/>
        <v>7890.9527651881763</v>
      </c>
      <c r="O140" s="132">
        <f t="shared" si="14"/>
        <v>98.964746720626067</v>
      </c>
      <c r="P140" s="368">
        <v>211900</v>
      </c>
      <c r="Q140" s="368">
        <v>31670</v>
      </c>
      <c r="R140" s="130">
        <f t="shared" si="12"/>
        <v>121785</v>
      </c>
      <c r="S140" s="133">
        <f t="shared" si="15"/>
        <v>143.33549108456424</v>
      </c>
      <c r="T140" s="131">
        <v>99.160545645330544</v>
      </c>
      <c r="U140" s="133">
        <v>100.15349078309232</v>
      </c>
      <c r="V140" s="133">
        <v>99.92809223682039</v>
      </c>
      <c r="W140" s="113">
        <v>40015</v>
      </c>
      <c r="X140" s="134">
        <v>1.7</v>
      </c>
      <c r="Y140" s="135">
        <f>1.8*20/31+1.7*11/31</f>
        <v>1.7645161290322582</v>
      </c>
      <c r="Z140" s="137">
        <f t="shared" si="16"/>
        <v>106.21359223300972</v>
      </c>
    </row>
    <row r="141" spans="2:26" ht="12" hidden="1" customHeight="1">
      <c r="B141" s="103" t="s">
        <v>204</v>
      </c>
      <c r="C141" s="270" t="s">
        <v>204</v>
      </c>
      <c r="D141" s="161">
        <v>100.55917986952471</v>
      </c>
      <c r="E141" s="159">
        <v>99.714013346043828</v>
      </c>
      <c r="F141" s="162">
        <v>100.72793448589627</v>
      </c>
      <c r="G141" s="130">
        <v>299644</v>
      </c>
      <c r="H141" s="129">
        <v>149</v>
      </c>
      <c r="I141" s="130">
        <f t="shared" si="10"/>
        <v>2011.0335570469799</v>
      </c>
      <c r="J141" s="130">
        <f t="shared" si="17"/>
        <v>2287.5924336238168</v>
      </c>
      <c r="K141" s="133">
        <f t="shared" si="13"/>
        <v>100.09652620422509</v>
      </c>
      <c r="L141" s="130">
        <f t="shared" si="19"/>
        <v>8629.878056509122</v>
      </c>
      <c r="M141" s="130">
        <f t="shared" si="19"/>
        <v>6524.0528314789817</v>
      </c>
      <c r="N141" s="130">
        <f t="shared" si="11"/>
        <v>7896.0149135465954</v>
      </c>
      <c r="O141" s="132">
        <f t="shared" si="14"/>
        <v>99.028233886886056</v>
      </c>
      <c r="P141" s="368">
        <v>206600</v>
      </c>
      <c r="Q141" s="368">
        <v>23520</v>
      </c>
      <c r="R141" s="130">
        <f t="shared" si="12"/>
        <v>115060</v>
      </c>
      <c r="S141" s="133">
        <f t="shared" si="15"/>
        <v>135.42046725122111</v>
      </c>
      <c r="T141" s="159">
        <v>99.160545645330544</v>
      </c>
      <c r="U141" s="133">
        <v>100.09652620422509</v>
      </c>
      <c r="V141" s="133">
        <v>99.884058617356018</v>
      </c>
      <c r="W141" s="114"/>
      <c r="X141" s="134"/>
      <c r="Y141" s="135">
        <v>1.7</v>
      </c>
      <c r="Z141" s="137">
        <f t="shared" si="16"/>
        <v>102.33009708737866</v>
      </c>
    </row>
    <row r="142" spans="2:26" ht="12" hidden="1" customHeight="1">
      <c r="B142" s="103" t="s">
        <v>224</v>
      </c>
      <c r="C142" s="270" t="s">
        <v>224</v>
      </c>
      <c r="D142" s="161">
        <v>100.46598322460392</v>
      </c>
      <c r="E142" s="159">
        <v>99.714013346043828</v>
      </c>
      <c r="F142" s="162">
        <v>100.81892629663331</v>
      </c>
      <c r="G142" s="130">
        <v>294255</v>
      </c>
      <c r="H142" s="129">
        <v>158.30000000000001</v>
      </c>
      <c r="I142" s="130">
        <f t="shared" si="10"/>
        <v>1858.8439671509791</v>
      </c>
      <c r="J142" s="130">
        <f t="shared" si="17"/>
        <v>2289.0603716812079</v>
      </c>
      <c r="K142" s="133">
        <f t="shared" si="13"/>
        <v>100.1607577072097</v>
      </c>
      <c r="L142" s="130">
        <f t="shared" si="19"/>
        <v>8637.9857803010418</v>
      </c>
      <c r="M142" s="130">
        <f t="shared" si="19"/>
        <v>6524.9431879089534</v>
      </c>
      <c r="N142" s="130">
        <f t="shared" si="11"/>
        <v>7901.6074428992051</v>
      </c>
      <c r="O142" s="132">
        <f t="shared" si="14"/>
        <v>99.098372850757485</v>
      </c>
      <c r="P142" s="368">
        <v>197200</v>
      </c>
      <c r="Q142" s="368">
        <v>19600</v>
      </c>
      <c r="R142" s="130">
        <f t="shared" si="12"/>
        <v>108400</v>
      </c>
      <c r="S142" s="133">
        <f t="shared" si="15"/>
        <v>127.58194550697345</v>
      </c>
      <c r="T142" s="159">
        <v>98.845750262329489</v>
      </c>
      <c r="U142" s="133">
        <v>100.1607577072097</v>
      </c>
      <c r="V142" s="133">
        <v>99.862251017221894</v>
      </c>
      <c r="W142" s="113">
        <v>40439</v>
      </c>
      <c r="X142" s="134">
        <v>1.6</v>
      </c>
      <c r="Y142" s="135">
        <f>1.7*17/30+1.6*13/30</f>
        <v>1.6566666666666667</v>
      </c>
      <c r="Z142" s="137">
        <f t="shared" si="16"/>
        <v>99.72168284789646</v>
      </c>
    </row>
    <row r="143" spans="2:26" ht="12" hidden="1" customHeight="1">
      <c r="B143" s="103" t="s">
        <v>225</v>
      </c>
      <c r="C143" s="270" t="s">
        <v>225</v>
      </c>
      <c r="D143" s="161">
        <v>100.55917986952471</v>
      </c>
      <c r="E143" s="159">
        <v>99.714013346043828</v>
      </c>
      <c r="F143" s="162">
        <v>100.27297543221111</v>
      </c>
      <c r="G143" s="130">
        <v>295789</v>
      </c>
      <c r="H143" s="129">
        <v>157.19999999999999</v>
      </c>
      <c r="I143" s="130">
        <f t="shared" ref="I143:I205" si="20">G143/H143</f>
        <v>1881.6094147582698</v>
      </c>
      <c r="J143" s="130">
        <f t="shared" si="17"/>
        <v>2294.8503169444766</v>
      </c>
      <c r="K143" s="133">
        <f t="shared" si="13"/>
        <v>100.41410415094123</v>
      </c>
      <c r="L143" s="130">
        <f t="shared" ref="L143:M158" si="21">AVERAGE(L107:L142)</f>
        <v>8638.8187186427367</v>
      </c>
      <c r="M143" s="130">
        <f t="shared" si="21"/>
        <v>6525.5804986842022</v>
      </c>
      <c r="N143" s="130">
        <f t="shared" ref="N143:N205" si="22">($L$13*L143+$M$13*M143)/100</f>
        <v>7902.3722066084292</v>
      </c>
      <c r="O143" s="132">
        <f t="shared" si="14"/>
        <v>99.107964169960212</v>
      </c>
      <c r="P143" s="368">
        <v>176600</v>
      </c>
      <c r="Q143" s="368">
        <v>18930</v>
      </c>
      <c r="R143" s="130">
        <f t="shared" ref="R143:R205" si="23">AVERAGE(P143:Q143)</f>
        <v>97765</v>
      </c>
      <c r="S143" s="133">
        <f t="shared" si="15"/>
        <v>115.06502677573118</v>
      </c>
      <c r="T143" s="159">
        <v>98.321091290661073</v>
      </c>
      <c r="U143" s="133">
        <v>100.41410415094123</v>
      </c>
      <c r="V143" s="133">
        <v>99.938990231657627</v>
      </c>
      <c r="W143" s="114"/>
      <c r="X143" s="134"/>
      <c r="Y143" s="135">
        <v>1.6</v>
      </c>
      <c r="Z143" s="137">
        <f t="shared" si="16"/>
        <v>96.3106796116505</v>
      </c>
    </row>
    <row r="144" spans="2:26" ht="12" hidden="1" customHeight="1">
      <c r="B144" s="103" t="s">
        <v>226</v>
      </c>
      <c r="C144" s="270" t="s">
        <v>226</v>
      </c>
      <c r="D144" s="161">
        <v>100.65237651444548</v>
      </c>
      <c r="E144" s="159">
        <v>99.714013346043828</v>
      </c>
      <c r="F144" s="162">
        <v>100.27297543221111</v>
      </c>
      <c r="G144" s="130">
        <v>311119</v>
      </c>
      <c r="H144" s="129">
        <v>163.4</v>
      </c>
      <c r="I144" s="130">
        <f t="shared" si="20"/>
        <v>1904.0330477356181</v>
      </c>
      <c r="J144" s="130">
        <f t="shared" si="17"/>
        <v>2290.2392105321815</v>
      </c>
      <c r="K144" s="133">
        <f t="shared" si="13"/>
        <v>100.21233930548858</v>
      </c>
      <c r="L144" s="130">
        <f t="shared" si="21"/>
        <v>8637.0359052717031</v>
      </c>
      <c r="M144" s="130">
        <f t="shared" si="21"/>
        <v>6527.2910680920968</v>
      </c>
      <c r="N144" s="130">
        <f t="shared" si="22"/>
        <v>7901.8068090206452</v>
      </c>
      <c r="O144" s="132">
        <f t="shared" si="14"/>
        <v>99.10087321013107</v>
      </c>
      <c r="P144" s="368">
        <v>158200</v>
      </c>
      <c r="Q144" s="368">
        <v>21540</v>
      </c>
      <c r="R144" s="130">
        <f t="shared" si="23"/>
        <v>89870</v>
      </c>
      <c r="S144" s="133">
        <f t="shared" si="15"/>
        <v>105.77296533866887</v>
      </c>
      <c r="T144" s="159">
        <v>98.321091290661073</v>
      </c>
      <c r="U144" s="133">
        <v>100.21233930548858</v>
      </c>
      <c r="V144" s="133">
        <v>99.783026006122739</v>
      </c>
      <c r="W144" s="113">
        <v>40502</v>
      </c>
      <c r="X144" s="134">
        <v>1.7</v>
      </c>
      <c r="Y144" s="135">
        <f>1.6*19/30+1.7*11/30</f>
        <v>1.6366666666666667</v>
      </c>
      <c r="Z144" s="137">
        <f t="shared" si="16"/>
        <v>98.517799352750828</v>
      </c>
    </row>
    <row r="145" spans="2:26" ht="12" hidden="1" customHeight="1">
      <c r="B145" s="105" t="s">
        <v>227</v>
      </c>
      <c r="C145" s="271" t="s">
        <v>227</v>
      </c>
      <c r="D145" s="161">
        <v>100.55917986952471</v>
      </c>
      <c r="E145" s="159">
        <v>99.714013346043828</v>
      </c>
      <c r="F145" s="162">
        <v>100.45495905368517</v>
      </c>
      <c r="G145" s="130">
        <v>634013</v>
      </c>
      <c r="H145" s="129">
        <v>159.69999999999999</v>
      </c>
      <c r="I145" s="130">
        <f t="shared" si="20"/>
        <v>3970.025046963056</v>
      </c>
      <c r="J145" s="130">
        <f t="shared" si="17"/>
        <v>2259.5820547845397</v>
      </c>
      <c r="K145" s="133">
        <f t="shared" si="13"/>
        <v>98.8708963331582</v>
      </c>
      <c r="L145" s="130">
        <f t="shared" si="21"/>
        <v>8640.8424581959171</v>
      </c>
      <c r="M145" s="130">
        <f t="shared" si="21"/>
        <v>6528.8824866502091</v>
      </c>
      <c r="N145" s="130">
        <f t="shared" si="22"/>
        <v>7904.8414054459681</v>
      </c>
      <c r="O145" s="132">
        <f t="shared" si="14"/>
        <v>99.138931740649255</v>
      </c>
      <c r="P145" s="368">
        <v>160100</v>
      </c>
      <c r="Q145" s="368">
        <v>25250</v>
      </c>
      <c r="R145" s="130">
        <f t="shared" si="23"/>
        <v>92675</v>
      </c>
      <c r="S145" s="133">
        <f t="shared" si="15"/>
        <v>109.07432472194434</v>
      </c>
      <c r="T145" s="131">
        <v>98.216159496327379</v>
      </c>
      <c r="U145" s="133">
        <v>98.8708963331582</v>
      </c>
      <c r="V145" s="133">
        <v>98.722271071197611</v>
      </c>
      <c r="W145" s="113">
        <v>40530</v>
      </c>
      <c r="X145" s="134">
        <v>1.6</v>
      </c>
      <c r="Y145" s="135">
        <f>1.7*17/31+1.6*14/31</f>
        <v>1.6548387096774193</v>
      </c>
      <c r="Z145" s="137">
        <f t="shared" si="16"/>
        <v>99.611650485436897</v>
      </c>
    </row>
    <row r="146" spans="2:26" ht="12" hidden="1" customHeight="1">
      <c r="B146" s="104" t="s">
        <v>236</v>
      </c>
      <c r="C146" s="272" t="s">
        <v>381</v>
      </c>
      <c r="D146" s="422">
        <v>89.145907473309606</v>
      </c>
      <c r="E146" s="423">
        <v>98.237022526934382</v>
      </c>
      <c r="F146" s="423">
        <v>90.415913200723324</v>
      </c>
      <c r="G146" s="140">
        <v>299158</v>
      </c>
      <c r="H146" s="141">
        <v>144.9</v>
      </c>
      <c r="I146" s="140">
        <f t="shared" si="20"/>
        <v>2064.582470669427</v>
      </c>
      <c r="J146" s="140">
        <f t="shared" si="17"/>
        <v>2256.8504849505671</v>
      </c>
      <c r="K146" s="142">
        <f t="shared" si="13"/>
        <v>98.751373009227734</v>
      </c>
      <c r="L146" s="140">
        <f t="shared" si="21"/>
        <v>8635.8103042569146</v>
      </c>
      <c r="M146" s="140">
        <f t="shared" si="21"/>
        <v>6530.1014446127165</v>
      </c>
      <c r="N146" s="140">
        <f t="shared" si="22"/>
        <v>7901.9877136948662</v>
      </c>
      <c r="O146" s="143">
        <f t="shared" si="14"/>
        <v>99.10314203441601</v>
      </c>
      <c r="P146" s="140">
        <v>181100</v>
      </c>
      <c r="Q146" s="140">
        <v>26880</v>
      </c>
      <c r="R146" s="140">
        <f t="shared" si="23"/>
        <v>103990</v>
      </c>
      <c r="S146" s="142">
        <f t="shared" si="15"/>
        <v>122.39157300064734</v>
      </c>
      <c r="T146" s="141">
        <v>98.386005605489515</v>
      </c>
      <c r="U146" s="142">
        <v>98.751373009227734</v>
      </c>
      <c r="V146" s="142">
        <v>98.668434608579162</v>
      </c>
      <c r="W146" s="144">
        <v>40200</v>
      </c>
      <c r="X146" s="145">
        <v>1.7</v>
      </c>
      <c r="Y146" s="146">
        <f>1.6*21/31+1.7*10/31</f>
        <v>1.6322580645161291</v>
      </c>
      <c r="Z146" s="147">
        <f t="shared" si="16"/>
        <v>98.252427184466029</v>
      </c>
    </row>
    <row r="147" spans="2:26" ht="12" hidden="1" customHeight="1">
      <c r="B147" s="103" t="s">
        <v>198</v>
      </c>
      <c r="C147" s="270" t="s">
        <v>198</v>
      </c>
      <c r="D147" s="424">
        <v>88.879003558718864</v>
      </c>
      <c r="E147" s="420">
        <v>98.237022526934382</v>
      </c>
      <c r="F147" s="420">
        <v>90.506329113924039</v>
      </c>
      <c r="G147" s="130">
        <v>296307</v>
      </c>
      <c r="H147" s="131">
        <v>161.19999999999999</v>
      </c>
      <c r="I147" s="130">
        <f t="shared" si="20"/>
        <v>1838.1327543424318</v>
      </c>
      <c r="J147" s="130">
        <f t="shared" si="17"/>
        <v>2253.3255294758283</v>
      </c>
      <c r="K147" s="133">
        <f t="shared" si="13"/>
        <v>98.597134084120341</v>
      </c>
      <c r="L147" s="130">
        <f t="shared" si="21"/>
        <v>8635.4346645603473</v>
      </c>
      <c r="M147" s="130">
        <f t="shared" si="21"/>
        <v>6530.1490156050459</v>
      </c>
      <c r="N147" s="130">
        <f t="shared" si="22"/>
        <v>7901.7595595173225</v>
      </c>
      <c r="O147" s="132">
        <f t="shared" si="14"/>
        <v>99.100280628313868</v>
      </c>
      <c r="P147" s="130">
        <v>162400</v>
      </c>
      <c r="Q147" s="130">
        <v>30770</v>
      </c>
      <c r="R147" s="130">
        <f t="shared" si="23"/>
        <v>96585</v>
      </c>
      <c r="S147" s="133">
        <f t="shared" si="15"/>
        <v>113.67621961984347</v>
      </c>
      <c r="T147" s="131">
        <v>98.096066492703201</v>
      </c>
      <c r="U147" s="133">
        <v>98.597134084120341</v>
      </c>
      <c r="V147" s="133">
        <v>98.48339174086864</v>
      </c>
      <c r="W147" s="116"/>
      <c r="X147" s="134"/>
      <c r="Y147" s="135">
        <v>1.7</v>
      </c>
      <c r="Z147" s="137">
        <f t="shared" si="16"/>
        <v>102.33009708737866</v>
      </c>
    </row>
    <row r="148" spans="2:26" ht="12" hidden="1" customHeight="1">
      <c r="B148" s="103" t="s">
        <v>219</v>
      </c>
      <c r="C148" s="270" t="s">
        <v>219</v>
      </c>
      <c r="D148" s="424">
        <v>89.145907473309606</v>
      </c>
      <c r="E148" s="420">
        <v>98.139079333986302</v>
      </c>
      <c r="F148" s="420">
        <v>90.687160940325484</v>
      </c>
      <c r="G148" s="130">
        <v>304556</v>
      </c>
      <c r="H148" s="131">
        <v>163.19999999999999</v>
      </c>
      <c r="I148" s="130">
        <f t="shared" si="20"/>
        <v>1866.1519607843138</v>
      </c>
      <c r="J148" s="130">
        <f t="shared" si="17"/>
        <v>2245.4172283735165</v>
      </c>
      <c r="K148" s="133">
        <f t="shared" si="13"/>
        <v>98.251096277348765</v>
      </c>
      <c r="L148" s="130">
        <f t="shared" si="21"/>
        <v>8635.1879937199483</v>
      </c>
      <c r="M148" s="130">
        <f t="shared" si="21"/>
        <v>6530.138194364994</v>
      </c>
      <c r="N148" s="130">
        <f t="shared" si="22"/>
        <v>7901.5950803644955</v>
      </c>
      <c r="O148" s="132">
        <f t="shared" si="14"/>
        <v>99.098217805460322</v>
      </c>
      <c r="P148" s="130">
        <v>176100</v>
      </c>
      <c r="Q148" s="130">
        <v>36660</v>
      </c>
      <c r="R148" s="130">
        <f t="shared" si="23"/>
        <v>106380</v>
      </c>
      <c r="S148" s="133">
        <f t="shared" si="15"/>
        <v>125.20449596892837</v>
      </c>
      <c r="T148" s="131">
        <v>96.066492703199003</v>
      </c>
      <c r="U148" s="133">
        <v>98.251096277348765</v>
      </c>
      <c r="V148" s="133">
        <v>97.755191266016766</v>
      </c>
      <c r="W148" s="116"/>
      <c r="X148" s="134"/>
      <c r="Y148" s="135">
        <v>1.7</v>
      </c>
      <c r="Z148" s="137">
        <f t="shared" si="16"/>
        <v>102.33009708737866</v>
      </c>
    </row>
    <row r="149" spans="2:26" ht="12" hidden="1" customHeight="1">
      <c r="B149" s="103" t="s">
        <v>200</v>
      </c>
      <c r="C149" s="270" t="s">
        <v>200</v>
      </c>
      <c r="D149" s="424">
        <v>88.879003558718864</v>
      </c>
      <c r="E149" s="420">
        <v>98.041136141038194</v>
      </c>
      <c r="F149" s="420">
        <v>90.687160940325484</v>
      </c>
      <c r="G149" s="130">
        <v>306192</v>
      </c>
      <c r="H149" s="131">
        <v>167.7</v>
      </c>
      <c r="I149" s="130">
        <f t="shared" si="20"/>
        <v>1825.8318425760287</v>
      </c>
      <c r="J149" s="130">
        <f t="shared" si="17"/>
        <v>2241.5371002537918</v>
      </c>
      <c r="K149" s="133">
        <f t="shared" si="13"/>
        <v>98.081316319912673</v>
      </c>
      <c r="L149" s="130">
        <f t="shared" si="21"/>
        <v>8635.120956394152</v>
      </c>
      <c r="M149" s="130">
        <f t="shared" si="21"/>
        <v>6530.035607581045</v>
      </c>
      <c r="N149" s="130">
        <f t="shared" si="22"/>
        <v>7901.5156543386402</v>
      </c>
      <c r="O149" s="132">
        <f t="shared" si="14"/>
        <v>99.097221680307172</v>
      </c>
      <c r="P149" s="130">
        <v>187700</v>
      </c>
      <c r="Q149" s="130">
        <v>40080</v>
      </c>
      <c r="R149" s="130">
        <f t="shared" si="23"/>
        <v>113890</v>
      </c>
      <c r="S149" s="133">
        <f t="shared" si="15"/>
        <v>134.04342964750191</v>
      </c>
      <c r="T149" s="131">
        <v>96.356431815985317</v>
      </c>
      <c r="U149" s="133">
        <v>98.081316319912673</v>
      </c>
      <c r="V149" s="133">
        <v>97.689767537521163</v>
      </c>
      <c r="W149" s="116"/>
      <c r="X149" s="134"/>
      <c r="Y149" s="135">
        <v>1.7</v>
      </c>
      <c r="Z149" s="137">
        <f t="shared" si="16"/>
        <v>102.33009708737866</v>
      </c>
    </row>
    <row r="150" spans="2:26" ht="12" hidden="1" customHeight="1">
      <c r="B150" s="103" t="s">
        <v>220</v>
      </c>
      <c r="C150" s="270" t="s">
        <v>220</v>
      </c>
      <c r="D150" s="424">
        <v>88.790035587188598</v>
      </c>
      <c r="E150" s="420">
        <v>98.041136141038194</v>
      </c>
      <c r="F150" s="420">
        <v>90.958408679927658</v>
      </c>
      <c r="G150" s="130">
        <v>298530</v>
      </c>
      <c r="H150" s="131">
        <v>150.19999999999999</v>
      </c>
      <c r="I150" s="130">
        <f t="shared" si="20"/>
        <v>1987.549933422104</v>
      </c>
      <c r="J150" s="130">
        <f t="shared" si="17"/>
        <v>2237.4465965942077</v>
      </c>
      <c r="K150" s="133">
        <f t="shared" ref="K150:K205" si="24">J150/$J$85*100</f>
        <v>97.902331112262971</v>
      </c>
      <c r="L150" s="130">
        <f t="shared" si="21"/>
        <v>8635.3023645304111</v>
      </c>
      <c r="M150" s="130">
        <f t="shared" si="21"/>
        <v>6529.9341593443132</v>
      </c>
      <c r="N150" s="130">
        <f t="shared" si="22"/>
        <v>7901.5984893053774</v>
      </c>
      <c r="O150" s="132">
        <f t="shared" ref="O150:O205" si="25">N150/$N$85*100</f>
        <v>99.098260558849049</v>
      </c>
      <c r="P150" s="130">
        <v>197500</v>
      </c>
      <c r="Q150" s="130">
        <v>36060</v>
      </c>
      <c r="R150" s="130">
        <f t="shared" si="23"/>
        <v>116780</v>
      </c>
      <c r="S150" s="133">
        <f t="shared" ref="S150:S205" si="26">R150/$R$85*100</f>
        <v>137.44483022420997</v>
      </c>
      <c r="T150" s="131">
        <v>96.936310041557945</v>
      </c>
      <c r="U150" s="133">
        <v>97.902331112262971</v>
      </c>
      <c r="V150" s="133">
        <v>97.683044329212933</v>
      </c>
      <c r="W150" s="116">
        <v>40324</v>
      </c>
      <c r="X150" s="134">
        <v>1.6</v>
      </c>
      <c r="Y150" s="135">
        <f>1.7*25/31+1.6*6/31</f>
        <v>1.6806451612903226</v>
      </c>
      <c r="Z150" s="137">
        <f t="shared" si="16"/>
        <v>101.16504854368932</v>
      </c>
    </row>
    <row r="151" spans="2:26" ht="12" hidden="1" customHeight="1">
      <c r="B151" s="103" t="s">
        <v>221</v>
      </c>
      <c r="C151" s="270" t="s">
        <v>221</v>
      </c>
      <c r="D151" s="424">
        <v>88.879003558718864</v>
      </c>
      <c r="E151" s="420">
        <v>97.943192948090115</v>
      </c>
      <c r="F151" s="420">
        <v>90.596745027124769</v>
      </c>
      <c r="G151" s="130">
        <v>462493</v>
      </c>
      <c r="H151" s="131">
        <v>167.4</v>
      </c>
      <c r="I151" s="130">
        <f t="shared" si="20"/>
        <v>2762.8016726403821</v>
      </c>
      <c r="J151" s="130">
        <f t="shared" si="17"/>
        <v>2236.346735980906</v>
      </c>
      <c r="K151" s="133">
        <f t="shared" si="24"/>
        <v>97.854205307560107</v>
      </c>
      <c r="L151" s="130">
        <f t="shared" si="21"/>
        <v>8635.462893368378</v>
      </c>
      <c r="M151" s="130">
        <f t="shared" si="21"/>
        <v>6529.8293624342587</v>
      </c>
      <c r="N151" s="130">
        <f t="shared" si="22"/>
        <v>7901.6665542555356</v>
      </c>
      <c r="O151" s="132">
        <f t="shared" si="25"/>
        <v>99.099114198549259</v>
      </c>
      <c r="P151" s="130">
        <v>186200</v>
      </c>
      <c r="Q151" s="130">
        <v>37270</v>
      </c>
      <c r="R151" s="130">
        <f t="shared" si="23"/>
        <v>111735</v>
      </c>
      <c r="S151" s="133">
        <f t="shared" si="26"/>
        <v>131.50709115518154</v>
      </c>
      <c r="T151" s="131">
        <v>95.196675364840061</v>
      </c>
      <c r="U151" s="133">
        <v>97.854205307560107</v>
      </c>
      <c r="V151" s="133">
        <v>97.250946010562657</v>
      </c>
      <c r="W151" s="116"/>
      <c r="X151" s="134"/>
      <c r="Y151" s="135">
        <v>1.6</v>
      </c>
      <c r="Z151" s="137">
        <f t="shared" ref="Z151:Z203" si="27">Y151/$Y$85*100</f>
        <v>96.3106796116505</v>
      </c>
    </row>
    <row r="152" spans="2:26" ht="12" hidden="1" customHeight="1">
      <c r="B152" s="103" t="s">
        <v>203</v>
      </c>
      <c r="C152" s="270" t="s">
        <v>203</v>
      </c>
      <c r="D152" s="424">
        <v>88.879003558718864</v>
      </c>
      <c r="E152" s="420">
        <v>97.943192948090115</v>
      </c>
      <c r="F152" s="420">
        <v>90.325497287522595</v>
      </c>
      <c r="G152" s="130">
        <v>484910</v>
      </c>
      <c r="H152" s="131">
        <v>168.4</v>
      </c>
      <c r="I152" s="130">
        <f t="shared" si="20"/>
        <v>2879.5130641330165</v>
      </c>
      <c r="J152" s="130">
        <f t="shared" si="17"/>
        <v>2237.5090610185507</v>
      </c>
      <c r="K152" s="133">
        <f t="shared" si="24"/>
        <v>97.905064322862984</v>
      </c>
      <c r="L152" s="130">
        <f t="shared" si="21"/>
        <v>8635.6004713666935</v>
      </c>
      <c r="M152" s="130">
        <f t="shared" si="21"/>
        <v>6529.806757239583</v>
      </c>
      <c r="N152" s="130">
        <f t="shared" si="22"/>
        <v>7901.7483097002687</v>
      </c>
      <c r="O152" s="132">
        <f t="shared" si="25"/>
        <v>99.100139538216325</v>
      </c>
      <c r="P152" s="130">
        <v>180500</v>
      </c>
      <c r="Q152" s="130">
        <v>31600</v>
      </c>
      <c r="R152" s="130">
        <f t="shared" si="23"/>
        <v>106050</v>
      </c>
      <c r="S152" s="133">
        <f t="shared" si="26"/>
        <v>124.81610074736655</v>
      </c>
      <c r="T152" s="131">
        <v>96.743017299700398</v>
      </c>
      <c r="U152" s="133">
        <v>97.905064322862984</v>
      </c>
      <c r="V152" s="133">
        <v>97.641279648605064</v>
      </c>
      <c r="W152" s="116">
        <v>40381</v>
      </c>
      <c r="X152" s="134">
        <v>1.4</v>
      </c>
      <c r="Y152" s="135">
        <f>1.6*21/31+1.4*10/31</f>
        <v>1.5354838709677421</v>
      </c>
      <c r="Z152" s="163">
        <f t="shared" si="27"/>
        <v>92.427184466019426</v>
      </c>
    </row>
    <row r="153" spans="2:26" ht="12" hidden="1" customHeight="1">
      <c r="B153" s="103" t="s">
        <v>204</v>
      </c>
      <c r="C153" s="270" t="s">
        <v>204</v>
      </c>
      <c r="D153" s="424">
        <v>88.879003558718864</v>
      </c>
      <c r="E153" s="420">
        <v>97.845249755142035</v>
      </c>
      <c r="F153" s="420">
        <v>90.14466546112115</v>
      </c>
      <c r="G153" s="130">
        <v>311092</v>
      </c>
      <c r="H153" s="131">
        <v>155.69999999999999</v>
      </c>
      <c r="I153" s="130">
        <f t="shared" si="20"/>
        <v>1998.0218368657677</v>
      </c>
      <c r="J153" s="130">
        <f t="shared" si="17"/>
        <v>2236.4247510034493</v>
      </c>
      <c r="K153" s="133">
        <f t="shared" si="24"/>
        <v>97.857618954429</v>
      </c>
      <c r="L153" s="130">
        <f t="shared" si="21"/>
        <v>8635.749965045954</v>
      </c>
      <c r="M153" s="130">
        <f t="shared" si="21"/>
        <v>6529.9358056433257</v>
      </c>
      <c r="N153" s="130">
        <f t="shared" si="22"/>
        <v>7901.8906783655575</v>
      </c>
      <c r="O153" s="132">
        <f t="shared" si="25"/>
        <v>99.101925061374374</v>
      </c>
      <c r="P153" s="130">
        <v>178100</v>
      </c>
      <c r="Q153" s="130">
        <v>28880</v>
      </c>
      <c r="R153" s="130">
        <f t="shared" si="23"/>
        <v>103490</v>
      </c>
      <c r="S153" s="133">
        <f t="shared" si="26"/>
        <v>121.80309539222031</v>
      </c>
      <c r="T153" s="131">
        <v>97.032956412486726</v>
      </c>
      <c r="U153" s="133">
        <v>97.857618954429</v>
      </c>
      <c r="V153" s="133">
        <v>97.670420557408107</v>
      </c>
      <c r="W153" s="116">
        <v>40408</v>
      </c>
      <c r="X153" s="134">
        <v>1.3</v>
      </c>
      <c r="Y153" s="135">
        <f>1.4*17/31+1.3*14/31</f>
        <v>1.3548387096774193</v>
      </c>
      <c r="Z153" s="163">
        <f t="shared" si="27"/>
        <v>81.553398058252426</v>
      </c>
    </row>
    <row r="154" spans="2:26" ht="12" hidden="1" customHeight="1">
      <c r="B154" s="103" t="s">
        <v>224</v>
      </c>
      <c r="C154" s="270" t="s">
        <v>224</v>
      </c>
      <c r="D154" s="424">
        <v>88.879003558718864</v>
      </c>
      <c r="E154" s="420">
        <v>97.845249755142035</v>
      </c>
      <c r="F154" s="420">
        <v>90.14466546112115</v>
      </c>
      <c r="G154" s="130">
        <v>303343</v>
      </c>
      <c r="H154" s="131">
        <v>164</v>
      </c>
      <c r="I154" s="130">
        <f t="shared" si="20"/>
        <v>1849.6524390243903</v>
      </c>
      <c r="J154" s="130">
        <f t="shared" ref="J154:J205" si="28">AVERAGE(I143:I154)</f>
        <v>2235.6587903262339</v>
      </c>
      <c r="K154" s="133">
        <f t="shared" si="24"/>
        <v>97.824103367530128</v>
      </c>
      <c r="L154" s="130">
        <f t="shared" si="21"/>
        <v>8635.6750475165281</v>
      </c>
      <c r="M154" s="130">
        <f t="shared" si="21"/>
        <v>6530.120012016072</v>
      </c>
      <c r="N154" s="130">
        <f t="shared" si="22"/>
        <v>7901.9060634305752</v>
      </c>
      <c r="O154" s="132">
        <f t="shared" si="25"/>
        <v>99.102118013874289</v>
      </c>
      <c r="P154" s="130">
        <v>199200</v>
      </c>
      <c r="Q154" s="130">
        <v>25760</v>
      </c>
      <c r="R154" s="130">
        <f t="shared" si="23"/>
        <v>112480</v>
      </c>
      <c r="S154" s="133">
        <f t="shared" si="26"/>
        <v>132.38392279173777</v>
      </c>
      <c r="T154" s="131">
        <v>96.936310041557945</v>
      </c>
      <c r="U154" s="133">
        <v>97.824103367530128</v>
      </c>
      <c r="V154" s="133">
        <v>97.622574282534444</v>
      </c>
      <c r="W154" s="116">
        <v>40442</v>
      </c>
      <c r="X154" s="134">
        <v>1.4</v>
      </c>
      <c r="Y154" s="135">
        <f>1.3*20/30+1.4*10/30</f>
        <v>1.3333333333333335</v>
      </c>
      <c r="Z154" s="163">
        <f t="shared" si="27"/>
        <v>80.258899676375421</v>
      </c>
    </row>
    <row r="155" spans="2:26" ht="12" hidden="1" customHeight="1">
      <c r="B155" s="103" t="s">
        <v>225</v>
      </c>
      <c r="C155" s="270" t="s">
        <v>225</v>
      </c>
      <c r="D155" s="424">
        <v>88.967971530249102</v>
      </c>
      <c r="E155" s="420">
        <v>97.845249755142035</v>
      </c>
      <c r="F155" s="420">
        <v>90.054249547920421</v>
      </c>
      <c r="G155" s="130">
        <v>302851</v>
      </c>
      <c r="H155" s="131">
        <v>162.69999999999999</v>
      </c>
      <c r="I155" s="130">
        <f t="shared" si="20"/>
        <v>1861.4074984634296</v>
      </c>
      <c r="J155" s="130">
        <f t="shared" si="28"/>
        <v>2233.9752973016634</v>
      </c>
      <c r="K155" s="133">
        <f t="shared" si="24"/>
        <v>97.750439981879907</v>
      </c>
      <c r="L155" s="130">
        <f t="shared" si="21"/>
        <v>8635.37085218836</v>
      </c>
      <c r="M155" s="130">
        <f t="shared" si="21"/>
        <v>6530.2658904977643</v>
      </c>
      <c r="N155" s="130">
        <f t="shared" si="22"/>
        <v>7901.75871520289</v>
      </c>
      <c r="O155" s="132">
        <f t="shared" si="25"/>
        <v>99.100270039305627</v>
      </c>
      <c r="P155" s="130">
        <v>191800</v>
      </c>
      <c r="Q155" s="130">
        <v>31010</v>
      </c>
      <c r="R155" s="130">
        <f t="shared" si="23"/>
        <v>111405</v>
      </c>
      <c r="S155" s="133">
        <f t="shared" si="26"/>
        <v>131.11869593361973</v>
      </c>
      <c r="T155" s="131">
        <v>96.066492703199003</v>
      </c>
      <c r="U155" s="133">
        <v>97.750439981879907</v>
      </c>
      <c r="V155" s="133">
        <v>97.368183949619336</v>
      </c>
      <c r="W155" s="116">
        <v>40476</v>
      </c>
      <c r="X155" s="134">
        <v>1.2</v>
      </c>
      <c r="Y155" s="135">
        <f>1.4*24/31+1.2*7/31</f>
        <v>1.3548387096774193</v>
      </c>
      <c r="Z155" s="137">
        <f t="shared" si="27"/>
        <v>81.553398058252426</v>
      </c>
    </row>
    <row r="156" spans="2:26" ht="12" hidden="1" customHeight="1">
      <c r="B156" s="103" t="s">
        <v>226</v>
      </c>
      <c r="C156" s="270" t="s">
        <v>226</v>
      </c>
      <c r="D156" s="424">
        <v>88.967971530249102</v>
      </c>
      <c r="E156" s="420">
        <v>97.649363369245847</v>
      </c>
      <c r="F156" s="420">
        <v>90.14466546112115</v>
      </c>
      <c r="G156" s="130">
        <v>321369</v>
      </c>
      <c r="H156" s="131">
        <v>167.5</v>
      </c>
      <c r="I156" s="130">
        <f t="shared" si="20"/>
        <v>1918.6208955223881</v>
      </c>
      <c r="J156" s="130">
        <f t="shared" si="28"/>
        <v>2235.1909512838943</v>
      </c>
      <c r="K156" s="133">
        <f t="shared" si="24"/>
        <v>97.803632473207955</v>
      </c>
      <c r="L156" s="130">
        <f t="shared" si="21"/>
        <v>8635.036118965796</v>
      </c>
      <c r="M156" s="130">
        <f t="shared" si="21"/>
        <v>6530.3981757994152</v>
      </c>
      <c r="N156" s="130">
        <f t="shared" si="22"/>
        <v>7901.5867341773874</v>
      </c>
      <c r="O156" s="132">
        <f t="shared" si="25"/>
        <v>99.098113131371164</v>
      </c>
      <c r="P156" s="130">
        <v>176600</v>
      </c>
      <c r="Q156" s="130">
        <v>40760</v>
      </c>
      <c r="R156" s="130">
        <f t="shared" si="23"/>
        <v>108680</v>
      </c>
      <c r="S156" s="133">
        <f t="shared" si="26"/>
        <v>127.91149296769258</v>
      </c>
      <c r="T156" s="131">
        <v>96.549724557842865</v>
      </c>
      <c r="U156" s="133">
        <v>97.803632473207955</v>
      </c>
      <c r="V156" s="133">
        <v>97.518995376420065</v>
      </c>
      <c r="W156" s="116">
        <v>40865</v>
      </c>
      <c r="X156" s="134">
        <v>1.3</v>
      </c>
      <c r="Y156" s="135">
        <f>1.2*17/30+1.3*13/30</f>
        <v>1.2433333333333332</v>
      </c>
      <c r="Z156" s="137">
        <f t="shared" si="27"/>
        <v>74.841423948220068</v>
      </c>
    </row>
    <row r="157" spans="2:26" ht="12" hidden="1" customHeight="1">
      <c r="B157" s="105" t="s">
        <v>227</v>
      </c>
      <c r="C157" s="271" t="s">
        <v>227</v>
      </c>
      <c r="D157" s="425">
        <v>89.234875444839844</v>
      </c>
      <c r="E157" s="426">
        <v>97.551420176297754</v>
      </c>
      <c r="F157" s="426">
        <v>90.415913200723324</v>
      </c>
      <c r="G157" s="150">
        <v>656444</v>
      </c>
      <c r="H157" s="151">
        <v>164.7</v>
      </c>
      <c r="I157" s="150">
        <f t="shared" si="20"/>
        <v>3985.6952034001215</v>
      </c>
      <c r="J157" s="150">
        <f t="shared" si="28"/>
        <v>2236.49679765365</v>
      </c>
      <c r="K157" s="152">
        <f t="shared" si="24"/>
        <v>97.860771447549581</v>
      </c>
      <c r="L157" s="150">
        <f t="shared" si="21"/>
        <v>8634.7442316967699</v>
      </c>
      <c r="M157" s="150">
        <f t="shared" si="21"/>
        <v>6530.482821171453</v>
      </c>
      <c r="N157" s="150">
        <f t="shared" si="22"/>
        <v>7901.4260655033877</v>
      </c>
      <c r="O157" s="153">
        <f t="shared" si="25"/>
        <v>99.096098097812941</v>
      </c>
      <c r="P157" s="150">
        <v>191500</v>
      </c>
      <c r="Q157" s="150">
        <v>41040</v>
      </c>
      <c r="R157" s="150">
        <f t="shared" si="23"/>
        <v>116270</v>
      </c>
      <c r="S157" s="152">
        <f t="shared" si="26"/>
        <v>136.84458306361444</v>
      </c>
      <c r="T157" s="151">
        <v>95.486614477626361</v>
      </c>
      <c r="U157" s="152">
        <v>97.860771447549581</v>
      </c>
      <c r="V157" s="152">
        <v>97.321837815377009</v>
      </c>
      <c r="W157" s="154">
        <v>40897</v>
      </c>
      <c r="X157" s="155">
        <v>1.5</v>
      </c>
      <c r="Y157" s="156">
        <f>1.3*19/31+1.5*12/31</f>
        <v>1.3774193548387097</v>
      </c>
      <c r="Z157" s="157">
        <f t="shared" si="27"/>
        <v>82.912621359223309</v>
      </c>
    </row>
    <row r="158" spans="2:26" ht="12" hidden="1" customHeight="1">
      <c r="B158" s="104" t="s">
        <v>238</v>
      </c>
      <c r="C158" s="272" t="s">
        <v>239</v>
      </c>
      <c r="D158" s="424">
        <v>89.145907473309606</v>
      </c>
      <c r="E158" s="427">
        <v>97.551420176297754</v>
      </c>
      <c r="F158" s="420">
        <v>91.320072332730547</v>
      </c>
      <c r="G158" s="130">
        <v>305862</v>
      </c>
      <c r="H158" s="129">
        <v>146.19999999999999</v>
      </c>
      <c r="I158" s="130">
        <f t="shared" si="20"/>
        <v>2092.0793433652534</v>
      </c>
      <c r="J158" s="130">
        <f t="shared" si="28"/>
        <v>2238.7882037116356</v>
      </c>
      <c r="K158" s="133">
        <f t="shared" si="24"/>
        <v>97.961034843754462</v>
      </c>
      <c r="L158" s="130">
        <f t="shared" si="21"/>
        <v>8634.3211314629771</v>
      </c>
      <c r="M158" s="130">
        <f t="shared" si="21"/>
        <v>6530.5116766445617</v>
      </c>
      <c r="N158" s="130">
        <f t="shared" si="22"/>
        <v>7901.1604681960516</v>
      </c>
      <c r="O158" s="132">
        <f t="shared" si="25"/>
        <v>99.09276709697788</v>
      </c>
      <c r="P158" s="130">
        <v>192400</v>
      </c>
      <c r="Q158" s="130">
        <v>40270</v>
      </c>
      <c r="R158" s="130">
        <f t="shared" si="23"/>
        <v>116335</v>
      </c>
      <c r="S158" s="133">
        <f t="shared" si="26"/>
        <v>136.92108515270994</v>
      </c>
      <c r="T158" s="159">
        <v>95.486614477626361</v>
      </c>
      <c r="U158" s="133">
        <v>97.961034843754462</v>
      </c>
      <c r="V158" s="133">
        <v>97.399341420643381</v>
      </c>
      <c r="W158" s="113"/>
      <c r="X158" s="145"/>
      <c r="Y158" s="135">
        <v>1.5</v>
      </c>
      <c r="Z158" s="137">
        <f t="shared" si="27"/>
        <v>90.291262135922338</v>
      </c>
    </row>
    <row r="159" spans="2:26" ht="12" hidden="1" customHeight="1">
      <c r="B159" s="103" t="s">
        <v>198</v>
      </c>
      <c r="C159" s="270" t="s">
        <v>198</v>
      </c>
      <c r="D159" s="424">
        <v>89.412811387900348</v>
      </c>
      <c r="E159" s="427">
        <v>97.45347698334966</v>
      </c>
      <c r="F159" s="420">
        <v>91.591320072332721</v>
      </c>
      <c r="G159" s="130">
        <v>299582</v>
      </c>
      <c r="H159" s="129">
        <v>161.6</v>
      </c>
      <c r="I159" s="130">
        <f t="shared" si="20"/>
        <v>1853.8490099009903</v>
      </c>
      <c r="J159" s="130">
        <f t="shared" si="28"/>
        <v>2240.0978916748491</v>
      </c>
      <c r="K159" s="133">
        <f t="shared" si="24"/>
        <v>98.018341911920217</v>
      </c>
      <c r="L159" s="130">
        <f t="shared" ref="L159:M174" si="29">AVERAGE(L123:L158)</f>
        <v>8633.9881489386535</v>
      </c>
      <c r="M159" s="130">
        <f t="shared" si="29"/>
        <v>6530.489293516508</v>
      </c>
      <c r="N159" s="130">
        <f t="shared" si="22"/>
        <v>7900.9357270615819</v>
      </c>
      <c r="O159" s="132">
        <f t="shared" si="25"/>
        <v>99.089948495712306</v>
      </c>
      <c r="P159" s="130">
        <v>180900</v>
      </c>
      <c r="Q159" s="130">
        <v>46530</v>
      </c>
      <c r="R159" s="130">
        <f t="shared" si="23"/>
        <v>113715</v>
      </c>
      <c r="S159" s="133">
        <f t="shared" si="26"/>
        <v>133.83746248455247</v>
      </c>
      <c r="T159" s="159">
        <v>95.003382622982514</v>
      </c>
      <c r="U159" s="133">
        <v>98.018341911920217</v>
      </c>
      <c r="V159" s="133">
        <v>97.333946153331368</v>
      </c>
      <c r="W159" s="113">
        <v>40595</v>
      </c>
      <c r="X159" s="134">
        <v>1.6</v>
      </c>
      <c r="Y159" s="135">
        <f>1.5*20/28+1.6*8/28</f>
        <v>1.5285714285714285</v>
      </c>
      <c r="Z159" s="137">
        <f t="shared" si="27"/>
        <v>92.011095700416092</v>
      </c>
    </row>
    <row r="160" spans="2:26" ht="12" hidden="1" customHeight="1">
      <c r="B160" s="103" t="s">
        <v>219</v>
      </c>
      <c r="C160" s="270" t="s">
        <v>219</v>
      </c>
      <c r="D160" s="424">
        <v>90.035587188612098</v>
      </c>
      <c r="E160" s="427">
        <v>97.35553379040158</v>
      </c>
      <c r="F160" s="420">
        <v>92.133815551537069</v>
      </c>
      <c r="G160" s="130">
        <v>308658</v>
      </c>
      <c r="H160" s="129">
        <v>160.1</v>
      </c>
      <c r="I160" s="130">
        <f t="shared" si="20"/>
        <v>1927.9075577763899</v>
      </c>
      <c r="J160" s="130">
        <f t="shared" si="28"/>
        <v>2245.2441914241886</v>
      </c>
      <c r="K160" s="133">
        <f t="shared" si="24"/>
        <v>98.243524824812852</v>
      </c>
      <c r="L160" s="130">
        <f t="shared" si="29"/>
        <v>8633.7675924380819</v>
      </c>
      <c r="M160" s="130">
        <f t="shared" si="29"/>
        <v>6530.419747377754</v>
      </c>
      <c r="N160" s="130">
        <f t="shared" si="22"/>
        <v>7900.7677964567529</v>
      </c>
      <c r="O160" s="132">
        <f t="shared" si="25"/>
        <v>99.087842386314875</v>
      </c>
      <c r="P160" s="130">
        <v>197500</v>
      </c>
      <c r="Q160" s="130">
        <v>49670</v>
      </c>
      <c r="R160" s="130">
        <f t="shared" si="23"/>
        <v>123585</v>
      </c>
      <c r="S160" s="133">
        <f t="shared" si="26"/>
        <v>145.45401047490142</v>
      </c>
      <c r="T160" s="159">
        <v>94.810089881124966</v>
      </c>
      <c r="U160" s="133">
        <v>98.243524824812852</v>
      </c>
      <c r="V160" s="133">
        <v>97.464135092595697</v>
      </c>
      <c r="W160" s="114"/>
      <c r="X160" s="134"/>
      <c r="Y160" s="135">
        <v>1.6</v>
      </c>
      <c r="Z160" s="137">
        <f t="shared" si="27"/>
        <v>96.3106796116505</v>
      </c>
    </row>
    <row r="161" spans="2:26" ht="12" hidden="1" customHeight="1">
      <c r="B161" s="103" t="s">
        <v>200</v>
      </c>
      <c r="C161" s="270" t="s">
        <v>200</v>
      </c>
      <c r="D161" s="424">
        <v>91.192170818505332</v>
      </c>
      <c r="E161" s="427">
        <v>97.35553379040158</v>
      </c>
      <c r="F161" s="420">
        <v>92.495479204339958</v>
      </c>
      <c r="G161" s="130">
        <v>305880</v>
      </c>
      <c r="H161" s="129">
        <v>163.6</v>
      </c>
      <c r="I161" s="130">
        <f t="shared" si="20"/>
        <v>1869.682151589242</v>
      </c>
      <c r="J161" s="130">
        <f t="shared" si="28"/>
        <v>2248.8983838419563</v>
      </c>
      <c r="K161" s="133">
        <f t="shared" si="24"/>
        <v>98.403418677285927</v>
      </c>
      <c r="L161" s="130">
        <f t="shared" si="29"/>
        <v>8633.7084030540373</v>
      </c>
      <c r="M161" s="130">
        <f t="shared" si="29"/>
        <v>6530.2541390356773</v>
      </c>
      <c r="N161" s="130">
        <f t="shared" si="22"/>
        <v>7900.6715209223075</v>
      </c>
      <c r="O161" s="132">
        <f t="shared" si="25"/>
        <v>99.086634942275424</v>
      </c>
      <c r="P161" s="130">
        <v>199800</v>
      </c>
      <c r="Q161" s="130">
        <v>47730</v>
      </c>
      <c r="R161" s="130">
        <f t="shared" si="23"/>
        <v>123765</v>
      </c>
      <c r="S161" s="133">
        <f t="shared" si="26"/>
        <v>145.66586241393514</v>
      </c>
      <c r="T161" s="159">
        <v>94.906736252053747</v>
      </c>
      <c r="U161" s="133">
        <v>98.403418677285927</v>
      </c>
      <c r="V161" s="133">
        <v>97.609671766758225</v>
      </c>
      <c r="W161" s="114"/>
      <c r="X161" s="134"/>
      <c r="Y161" s="135">
        <v>1.6</v>
      </c>
      <c r="Z161" s="137">
        <f t="shared" si="27"/>
        <v>96.3106796116505</v>
      </c>
    </row>
    <row r="162" spans="2:26" ht="12" hidden="1" customHeight="1">
      <c r="B162" s="103" t="s">
        <v>220</v>
      </c>
      <c r="C162" s="270" t="s">
        <v>220</v>
      </c>
      <c r="D162" s="424">
        <v>91.370106761565836</v>
      </c>
      <c r="E162" s="427">
        <v>97.35553379040158</v>
      </c>
      <c r="F162" s="420">
        <v>92.857142857142847</v>
      </c>
      <c r="G162" s="130">
        <v>297691</v>
      </c>
      <c r="H162" s="129">
        <v>146.69999999999999</v>
      </c>
      <c r="I162" s="130">
        <f t="shared" si="20"/>
        <v>2029.2501704158146</v>
      </c>
      <c r="J162" s="130">
        <f t="shared" si="28"/>
        <v>2252.3734035914322</v>
      </c>
      <c r="K162" s="133">
        <f t="shared" si="24"/>
        <v>98.555472601009825</v>
      </c>
      <c r="L162" s="130">
        <f t="shared" si="29"/>
        <v>8633.9076787717804</v>
      </c>
      <c r="M162" s="130">
        <f t="shared" si="29"/>
        <v>6530.0705186966825</v>
      </c>
      <c r="N162" s="130">
        <f t="shared" si="22"/>
        <v>7900.7373604458753</v>
      </c>
      <c r="O162" s="132">
        <f t="shared" si="25"/>
        <v>99.087460671685818</v>
      </c>
      <c r="P162" s="130">
        <v>205400</v>
      </c>
      <c r="Q162" s="130">
        <v>48200</v>
      </c>
      <c r="R162" s="130">
        <f t="shared" si="23"/>
        <v>126800</v>
      </c>
      <c r="S162" s="133">
        <f t="shared" si="26"/>
        <v>149.23792149708703</v>
      </c>
      <c r="T162" s="159">
        <v>94.036918913694791</v>
      </c>
      <c r="U162" s="133">
        <v>98.555472601009825</v>
      </c>
      <c r="V162" s="133">
        <v>97.529760913989307</v>
      </c>
      <c r="W162" s="113">
        <v>40690</v>
      </c>
      <c r="X162" s="134">
        <v>1.5</v>
      </c>
      <c r="Y162" s="135">
        <f>1.6*26/31+1.5*5/31</f>
        <v>1.5838709677419356</v>
      </c>
      <c r="Z162" s="137">
        <f t="shared" si="27"/>
        <v>95.339805825242735</v>
      </c>
    </row>
    <row r="163" spans="2:26" ht="12" hidden="1" customHeight="1">
      <c r="B163" s="103" t="s">
        <v>221</v>
      </c>
      <c r="C163" s="270" t="s">
        <v>221</v>
      </c>
      <c r="D163" s="424">
        <v>91.90391459074732</v>
      </c>
      <c r="E163" s="427">
        <v>97.257590597453486</v>
      </c>
      <c r="F163" s="420">
        <v>92.676311030741402</v>
      </c>
      <c r="G163" s="130">
        <v>480731</v>
      </c>
      <c r="H163" s="129">
        <v>168</v>
      </c>
      <c r="I163" s="130">
        <f t="shared" si="20"/>
        <v>2861.4940476190477</v>
      </c>
      <c r="J163" s="130">
        <f t="shared" si="28"/>
        <v>2260.5977681729873</v>
      </c>
      <c r="K163" s="133">
        <f t="shared" si="24"/>
        <v>98.915340168654581</v>
      </c>
      <c r="L163" s="130">
        <f t="shared" si="29"/>
        <v>8634.1182503603704</v>
      </c>
      <c r="M163" s="130">
        <f t="shared" si="29"/>
        <v>6529.891161626635</v>
      </c>
      <c r="N163" s="130">
        <f t="shared" si="22"/>
        <v>7900.812045035128</v>
      </c>
      <c r="O163" s="132">
        <f t="shared" si="25"/>
        <v>99.08839733189393</v>
      </c>
      <c r="P163" s="130">
        <v>209600</v>
      </c>
      <c r="Q163" s="130">
        <v>56150</v>
      </c>
      <c r="R163" s="130">
        <f t="shared" si="23"/>
        <v>132875</v>
      </c>
      <c r="S163" s="133">
        <f t="shared" si="26"/>
        <v>156.38792443947506</v>
      </c>
      <c r="T163" s="159">
        <v>95.003382622982514</v>
      </c>
      <c r="U163" s="133">
        <v>98.915340168654581</v>
      </c>
      <c r="V163" s="133">
        <v>98.027325805787029</v>
      </c>
      <c r="W163" s="114"/>
      <c r="X163" s="134"/>
      <c r="Y163" s="135">
        <v>1.5</v>
      </c>
      <c r="Z163" s="137">
        <f t="shared" si="27"/>
        <v>90.291262135922338</v>
      </c>
    </row>
    <row r="164" spans="2:26" ht="12" hidden="1" customHeight="1">
      <c r="B164" s="103" t="s">
        <v>203</v>
      </c>
      <c r="C164" s="270" t="s">
        <v>203</v>
      </c>
      <c r="D164" s="424">
        <v>91.725978647686816</v>
      </c>
      <c r="E164" s="427">
        <v>97.257590597453486</v>
      </c>
      <c r="F164" s="420">
        <v>92.857142857142847</v>
      </c>
      <c r="G164" s="130">
        <v>496754</v>
      </c>
      <c r="H164" s="129">
        <v>167.2</v>
      </c>
      <c r="I164" s="130">
        <f t="shared" si="20"/>
        <v>2971.0167464114834</v>
      </c>
      <c r="J164" s="130">
        <f t="shared" si="28"/>
        <v>2268.2230750295266</v>
      </c>
      <c r="K164" s="133">
        <f t="shared" si="24"/>
        <v>99.248995201064233</v>
      </c>
      <c r="L164" s="130">
        <f t="shared" si="29"/>
        <v>8634.3213014826106</v>
      </c>
      <c r="M164" s="130">
        <f t="shared" si="29"/>
        <v>6529.8098105537028</v>
      </c>
      <c r="N164" s="130">
        <f t="shared" si="22"/>
        <v>7900.9159842812587</v>
      </c>
      <c r="O164" s="132">
        <f t="shared" si="25"/>
        <v>99.089700890725638</v>
      </c>
      <c r="P164" s="130">
        <v>215400</v>
      </c>
      <c r="Q164" s="130">
        <v>40140</v>
      </c>
      <c r="R164" s="130">
        <f t="shared" si="23"/>
        <v>127770</v>
      </c>
      <c r="S164" s="133">
        <f t="shared" si="26"/>
        <v>150.37956805743542</v>
      </c>
      <c r="T164" s="159">
        <v>96.066492703199003</v>
      </c>
      <c r="U164" s="133">
        <v>99.248995201064233</v>
      </c>
      <c r="V164" s="133">
        <v>98.526567134048818</v>
      </c>
      <c r="W164" s="114"/>
      <c r="X164" s="134"/>
      <c r="Y164" s="135">
        <v>1.5</v>
      </c>
      <c r="Z164" s="137">
        <f t="shared" si="27"/>
        <v>90.291262135922338</v>
      </c>
    </row>
    <row r="165" spans="2:26" ht="12" hidden="1" customHeight="1">
      <c r="B165" s="103" t="s">
        <v>204</v>
      </c>
      <c r="C165" s="270" t="s">
        <v>204</v>
      </c>
      <c r="D165" s="424">
        <v>91.725978647686816</v>
      </c>
      <c r="E165" s="427">
        <v>97.257590597453486</v>
      </c>
      <c r="F165" s="420">
        <v>92.857142857142847</v>
      </c>
      <c r="G165" s="130">
        <v>310755</v>
      </c>
      <c r="H165" s="129">
        <v>156.6</v>
      </c>
      <c r="I165" s="130">
        <f t="shared" si="20"/>
        <v>1984.3869731800767</v>
      </c>
      <c r="J165" s="130">
        <f t="shared" si="28"/>
        <v>2267.0868363890518</v>
      </c>
      <c r="K165" s="133">
        <f t="shared" si="24"/>
        <v>99.199277629359216</v>
      </c>
      <c r="L165" s="130">
        <f t="shared" si="29"/>
        <v>8634.5702642024135</v>
      </c>
      <c r="M165" s="130">
        <f t="shared" si="29"/>
        <v>6529.8852893890435</v>
      </c>
      <c r="N165" s="130">
        <f t="shared" si="22"/>
        <v>7901.1044892635473</v>
      </c>
      <c r="O165" s="132">
        <f t="shared" si="25"/>
        <v>99.092065034623459</v>
      </c>
      <c r="P165" s="130">
        <v>200000</v>
      </c>
      <c r="Q165" s="130">
        <v>30500</v>
      </c>
      <c r="R165" s="130">
        <f t="shared" si="23"/>
        <v>115250</v>
      </c>
      <c r="S165" s="133">
        <f t="shared" si="26"/>
        <v>135.64408874242335</v>
      </c>
      <c r="T165" s="159">
        <v>95.196675364840061</v>
      </c>
      <c r="U165" s="133">
        <v>99.199277629359216</v>
      </c>
      <c r="V165" s="133">
        <v>98.290686915313358</v>
      </c>
      <c r="W165" s="113">
        <v>40773</v>
      </c>
      <c r="X165" s="134">
        <v>1.4</v>
      </c>
      <c r="Y165" s="135">
        <f>1.5*17/31+1.4*14/31</f>
        <v>1.4548387096774194</v>
      </c>
      <c r="Z165" s="137">
        <f t="shared" si="27"/>
        <v>87.572815533980588</v>
      </c>
    </row>
    <row r="166" spans="2:26" ht="12" hidden="1" customHeight="1">
      <c r="B166" s="103" t="s">
        <v>224</v>
      </c>
      <c r="C166" s="270" t="s">
        <v>224</v>
      </c>
      <c r="D166" s="424">
        <v>91.459074733096074</v>
      </c>
      <c r="E166" s="427">
        <v>97.159647404505392</v>
      </c>
      <c r="F166" s="420">
        <v>92.585895117540687</v>
      </c>
      <c r="G166" s="130">
        <v>304685</v>
      </c>
      <c r="H166" s="129">
        <v>164</v>
      </c>
      <c r="I166" s="130">
        <f t="shared" si="20"/>
        <v>1857.8353658536585</v>
      </c>
      <c r="J166" s="130">
        <f t="shared" si="28"/>
        <v>2267.7687469581579</v>
      </c>
      <c r="K166" s="133">
        <f t="shared" si="24"/>
        <v>99.229115496518688</v>
      </c>
      <c r="L166" s="130">
        <f t="shared" si="29"/>
        <v>8634.5750942172326</v>
      </c>
      <c r="M166" s="130">
        <f t="shared" si="29"/>
        <v>6530.0276082441287</v>
      </c>
      <c r="N166" s="130">
        <f t="shared" si="22"/>
        <v>7901.1572330326708</v>
      </c>
      <c r="O166" s="132">
        <f t="shared" si="25"/>
        <v>99.092726523027679</v>
      </c>
      <c r="P166" s="130">
        <v>217500</v>
      </c>
      <c r="Q166" s="130">
        <v>22950</v>
      </c>
      <c r="R166" s="130">
        <f t="shared" si="23"/>
        <v>120225</v>
      </c>
      <c r="S166" s="133">
        <f t="shared" si="26"/>
        <v>141.49944094627202</v>
      </c>
      <c r="T166" s="159">
        <v>95.776553590412675</v>
      </c>
      <c r="U166" s="133">
        <v>99.229115496518688</v>
      </c>
      <c r="V166" s="133">
        <v>98.445383943832624</v>
      </c>
      <c r="W166" s="114"/>
      <c r="X166" s="134">
        <v>1.4</v>
      </c>
      <c r="Y166" s="135">
        <v>1.4</v>
      </c>
      <c r="Z166" s="137">
        <f t="shared" si="27"/>
        <v>84.271844660194176</v>
      </c>
    </row>
    <row r="167" spans="2:26" ht="12" hidden="1" customHeight="1">
      <c r="B167" s="103" t="s">
        <v>225</v>
      </c>
      <c r="C167" s="270" t="s">
        <v>225</v>
      </c>
      <c r="D167" s="424">
        <v>91.370106761565836</v>
      </c>
      <c r="E167" s="427">
        <v>97.159647404505392</v>
      </c>
      <c r="F167" s="420">
        <v>92.224231464737784</v>
      </c>
      <c r="G167" s="130">
        <v>306429</v>
      </c>
      <c r="H167" s="129">
        <v>163.30000000000001</v>
      </c>
      <c r="I167" s="130">
        <f t="shared" si="20"/>
        <v>1876.4788732394366</v>
      </c>
      <c r="J167" s="130">
        <f t="shared" si="28"/>
        <v>2269.0246948561585</v>
      </c>
      <c r="K167" s="133">
        <f t="shared" si="24"/>
        <v>99.28407109955161</v>
      </c>
      <c r="L167" s="130">
        <f t="shared" si="29"/>
        <v>8634.3351537821018</v>
      </c>
      <c r="M167" s="130">
        <f t="shared" si="29"/>
        <v>6530.1401135715741</v>
      </c>
      <c r="N167" s="130">
        <f t="shared" si="22"/>
        <v>7901.0401171092662</v>
      </c>
      <c r="O167" s="132">
        <f t="shared" si="25"/>
        <v>99.091257708292417</v>
      </c>
      <c r="P167" s="130">
        <v>197400</v>
      </c>
      <c r="Q167" s="130">
        <v>25110</v>
      </c>
      <c r="R167" s="130">
        <f t="shared" si="23"/>
        <v>111255</v>
      </c>
      <c r="S167" s="133">
        <f t="shared" si="26"/>
        <v>130.94215265109165</v>
      </c>
      <c r="T167" s="159">
        <v>94.230211655552338</v>
      </c>
      <c r="U167" s="133">
        <v>99.28407109955161</v>
      </c>
      <c r="V167" s="133">
        <v>98.136845005763774</v>
      </c>
      <c r="W167" s="113">
        <v>40836</v>
      </c>
      <c r="X167" s="134">
        <v>1.3</v>
      </c>
      <c r="Y167" s="135">
        <f>1.4*19/31+1.3*12/31</f>
        <v>1.3612903225806452</v>
      </c>
      <c r="Z167" s="137">
        <f t="shared" si="27"/>
        <v>81.941747572815544</v>
      </c>
    </row>
    <row r="168" spans="2:26" ht="12" hidden="1" customHeight="1">
      <c r="B168" s="103" t="s">
        <v>226</v>
      </c>
      <c r="C168" s="270" t="s">
        <v>226</v>
      </c>
      <c r="D168" s="424">
        <v>91.370106761565836</v>
      </c>
      <c r="E168" s="427">
        <v>97.159647404505392</v>
      </c>
      <c r="F168" s="420">
        <v>92.405063291139228</v>
      </c>
      <c r="G168" s="130">
        <v>324245</v>
      </c>
      <c r="H168" s="129">
        <v>168.1</v>
      </c>
      <c r="I168" s="130">
        <f t="shared" si="20"/>
        <v>1928.8816180844735</v>
      </c>
      <c r="J168" s="130">
        <f t="shared" si="28"/>
        <v>2269.8797550696659</v>
      </c>
      <c r="K168" s="133">
        <f t="shared" si="24"/>
        <v>99.32148535036373</v>
      </c>
      <c r="L168" s="130">
        <f t="shared" si="29"/>
        <v>8634.0775815525685</v>
      </c>
      <c r="M168" s="130">
        <f t="shared" si="29"/>
        <v>6530.2326133244287</v>
      </c>
      <c r="N168" s="130">
        <f t="shared" si="22"/>
        <v>7900.9045421481705</v>
      </c>
      <c r="O168" s="132">
        <f t="shared" si="25"/>
        <v>99.089557388687709</v>
      </c>
      <c r="P168" s="130">
        <v>207400</v>
      </c>
      <c r="Q168" s="130">
        <v>23280</v>
      </c>
      <c r="R168" s="130">
        <f t="shared" si="23"/>
        <v>115340</v>
      </c>
      <c r="S168" s="133">
        <f t="shared" si="26"/>
        <v>135.75001471194022</v>
      </c>
      <c r="T168" s="159">
        <v>92.780516091620768</v>
      </c>
      <c r="U168" s="133">
        <v>99.32148535036373</v>
      </c>
      <c r="V168" s="133">
        <v>97.836685328629088</v>
      </c>
      <c r="W168" s="114"/>
      <c r="X168" s="134">
        <v>1.3</v>
      </c>
      <c r="Y168" s="135">
        <v>1.3</v>
      </c>
      <c r="Z168" s="137">
        <f t="shared" si="27"/>
        <v>78.252427184466029</v>
      </c>
    </row>
    <row r="169" spans="2:26" ht="12" hidden="1" customHeight="1">
      <c r="B169" s="105" t="s">
        <v>227</v>
      </c>
      <c r="C169" s="271" t="s">
        <v>227</v>
      </c>
      <c r="D169" s="424">
        <v>91.370106761565836</v>
      </c>
      <c r="E169" s="427">
        <v>97.159647404505392</v>
      </c>
      <c r="F169" s="420">
        <v>92.585895117540687</v>
      </c>
      <c r="G169" s="130">
        <v>679058</v>
      </c>
      <c r="H169" s="129">
        <v>166.2</v>
      </c>
      <c r="I169" s="130">
        <f t="shared" si="20"/>
        <v>4085.7882069795428</v>
      </c>
      <c r="J169" s="130">
        <f t="shared" si="28"/>
        <v>2278.2208387012838</v>
      </c>
      <c r="K169" s="133">
        <f t="shared" si="24"/>
        <v>99.686460108992961</v>
      </c>
      <c r="L169" s="130">
        <f t="shared" si="29"/>
        <v>8633.8810584323655</v>
      </c>
      <c r="M169" s="130">
        <f t="shared" si="29"/>
        <v>6530.2637858154276</v>
      </c>
      <c r="N169" s="130">
        <f t="shared" si="22"/>
        <v>7900.7873691159466</v>
      </c>
      <c r="O169" s="132">
        <f t="shared" si="25"/>
        <v>99.088087857719572</v>
      </c>
      <c r="P169" s="130">
        <v>214600</v>
      </c>
      <c r="Q169" s="130">
        <v>23230</v>
      </c>
      <c r="R169" s="130">
        <f t="shared" si="23"/>
        <v>118915</v>
      </c>
      <c r="S169" s="133">
        <f t="shared" si="26"/>
        <v>139.95762961219324</v>
      </c>
      <c r="T169" s="159">
        <v>93.070455204407082</v>
      </c>
      <c r="U169" s="133">
        <v>99.686460108992961</v>
      </c>
      <c r="V169" s="133">
        <v>98.184626995651968</v>
      </c>
      <c r="W169" s="113">
        <v>41262</v>
      </c>
      <c r="X169" s="134">
        <v>1.4</v>
      </c>
      <c r="Y169" s="135">
        <f>1.4*13/31+1.3*18/31</f>
        <v>1.3419354838709676</v>
      </c>
      <c r="Z169" s="137">
        <f t="shared" si="27"/>
        <v>80.776699029126206</v>
      </c>
    </row>
    <row r="170" spans="2:26" ht="12" hidden="1" customHeight="1">
      <c r="B170" s="104" t="s">
        <v>240</v>
      </c>
      <c r="C170" s="272" t="s">
        <v>241</v>
      </c>
      <c r="D170" s="422">
        <v>91.637010676156578</v>
      </c>
      <c r="E170" s="423">
        <v>97.061704211557299</v>
      </c>
      <c r="F170" s="423">
        <v>92.224231464737784</v>
      </c>
      <c r="G170" s="140">
        <v>309236</v>
      </c>
      <c r="H170" s="139">
        <v>146.9</v>
      </c>
      <c r="I170" s="140">
        <f t="shared" si="20"/>
        <v>2105.0782845473109</v>
      </c>
      <c r="J170" s="140">
        <f t="shared" si="28"/>
        <v>2279.3040837997892</v>
      </c>
      <c r="K170" s="142">
        <f t="shared" si="24"/>
        <v>99.733858880642316</v>
      </c>
      <c r="L170" s="140">
        <f t="shared" si="29"/>
        <v>8633.5740204616905</v>
      </c>
      <c r="M170" s="140">
        <f t="shared" si="29"/>
        <v>6530.2440414900911</v>
      </c>
      <c r="N170" s="140">
        <f t="shared" si="22"/>
        <v>7900.5804506684954</v>
      </c>
      <c r="O170" s="143">
        <f t="shared" si="25"/>
        <v>99.085492780502264</v>
      </c>
      <c r="P170" s="140">
        <v>225400</v>
      </c>
      <c r="Q170" s="140">
        <v>25100</v>
      </c>
      <c r="R170" s="140">
        <f t="shared" si="23"/>
        <v>125250</v>
      </c>
      <c r="S170" s="142">
        <f t="shared" si="26"/>
        <v>147.41364091096335</v>
      </c>
      <c r="T170" s="141">
        <v>92.780516091620768</v>
      </c>
      <c r="U170" s="142">
        <v>99.733858880642316</v>
      </c>
      <c r="V170" s="142">
        <v>98.155450067534417</v>
      </c>
      <c r="W170" s="144">
        <v>40935</v>
      </c>
      <c r="X170" s="145">
        <v>1.3</v>
      </c>
      <c r="Y170" s="146">
        <f>1.4*26/31+1.3*5/31</f>
        <v>1.3838709677419354</v>
      </c>
      <c r="Z170" s="147">
        <f t="shared" si="27"/>
        <v>83.300970873786412</v>
      </c>
    </row>
    <row r="171" spans="2:26" ht="12" hidden="1" customHeight="1">
      <c r="B171" s="103" t="s">
        <v>198</v>
      </c>
      <c r="C171" s="270" t="s">
        <v>198</v>
      </c>
      <c r="D171" s="424">
        <v>91.548042704626326</v>
      </c>
      <c r="E171" s="420">
        <v>97.061704211557299</v>
      </c>
      <c r="F171" s="420">
        <v>92.224231464737784</v>
      </c>
      <c r="G171" s="130">
        <v>306968</v>
      </c>
      <c r="H171" s="129">
        <v>168</v>
      </c>
      <c r="I171" s="130">
        <f t="shared" si="20"/>
        <v>1827.1904761904761</v>
      </c>
      <c r="J171" s="130">
        <f t="shared" si="28"/>
        <v>2277.0825393239124</v>
      </c>
      <c r="K171" s="133">
        <f t="shared" si="24"/>
        <v>99.636652367115261</v>
      </c>
      <c r="L171" s="130">
        <f t="shared" si="29"/>
        <v>8633.3696153673154</v>
      </c>
      <c r="M171" s="130">
        <f t="shared" si="29"/>
        <v>6530.1767004230551</v>
      </c>
      <c r="N171" s="130">
        <f t="shared" si="22"/>
        <v>7900.4238112845387</v>
      </c>
      <c r="O171" s="132">
        <f t="shared" si="25"/>
        <v>99.083528280470262</v>
      </c>
      <c r="P171" s="130">
        <v>198000</v>
      </c>
      <c r="Q171" s="130">
        <v>28870</v>
      </c>
      <c r="R171" s="130">
        <f t="shared" si="23"/>
        <v>113435</v>
      </c>
      <c r="S171" s="133">
        <f t="shared" si="26"/>
        <v>133.50791502383333</v>
      </c>
      <c r="T171" s="131">
        <v>92.973808833478316</v>
      </c>
      <c r="U171" s="133">
        <v>99.636652367115261</v>
      </c>
      <c r="V171" s="133">
        <v>98.124186884979679</v>
      </c>
      <c r="W171" s="116"/>
      <c r="X171" s="134">
        <v>1.3</v>
      </c>
      <c r="Y171" s="135">
        <v>1.3</v>
      </c>
      <c r="Z171" s="137">
        <f t="shared" si="27"/>
        <v>78.252427184466029</v>
      </c>
    </row>
    <row r="172" spans="2:26" ht="12" hidden="1" customHeight="1">
      <c r="B172" s="103" t="s">
        <v>219</v>
      </c>
      <c r="C172" s="270" t="s">
        <v>219</v>
      </c>
      <c r="D172" s="424">
        <v>91.459074733096074</v>
      </c>
      <c r="E172" s="420">
        <v>97.061704211557299</v>
      </c>
      <c r="F172" s="420">
        <v>92.766726943942118</v>
      </c>
      <c r="G172" s="130">
        <v>316484</v>
      </c>
      <c r="H172" s="129">
        <v>167.3</v>
      </c>
      <c r="I172" s="130">
        <f t="shared" si="20"/>
        <v>1891.7154811715479</v>
      </c>
      <c r="J172" s="130">
        <f t="shared" si="28"/>
        <v>2274.0665329401759</v>
      </c>
      <c r="K172" s="133">
        <f t="shared" si="24"/>
        <v>99.504683158971147</v>
      </c>
      <c r="L172" s="130">
        <f t="shared" si="29"/>
        <v>8633.2938436161039</v>
      </c>
      <c r="M172" s="130">
        <f t="shared" si="29"/>
        <v>6530.0776521042335</v>
      </c>
      <c r="N172" s="130">
        <f t="shared" si="22"/>
        <v>7900.3399278368461</v>
      </c>
      <c r="O172" s="132">
        <f t="shared" si="25"/>
        <v>99.082476252356301</v>
      </c>
      <c r="P172" s="130">
        <v>216200</v>
      </c>
      <c r="Q172" s="130">
        <v>37100</v>
      </c>
      <c r="R172" s="130">
        <f t="shared" si="23"/>
        <v>126650</v>
      </c>
      <c r="S172" s="133">
        <f t="shared" si="26"/>
        <v>149.06137821455894</v>
      </c>
      <c r="T172" s="131">
        <v>93.55368705905093</v>
      </c>
      <c r="U172" s="133">
        <v>99.504683158971147</v>
      </c>
      <c r="V172" s="133">
        <v>98.153807044289266</v>
      </c>
      <c r="W172" s="116"/>
      <c r="X172" s="134">
        <v>1.3</v>
      </c>
      <c r="Y172" s="135">
        <v>1.3</v>
      </c>
      <c r="Z172" s="137">
        <f t="shared" si="27"/>
        <v>78.252427184466029</v>
      </c>
    </row>
    <row r="173" spans="2:26" ht="12" hidden="1" customHeight="1">
      <c r="B173" s="103" t="s">
        <v>200</v>
      </c>
      <c r="C173" s="270" t="s">
        <v>200</v>
      </c>
      <c r="D173" s="424">
        <v>91.459074733096074</v>
      </c>
      <c r="E173" s="420">
        <v>97.061704211557299</v>
      </c>
      <c r="F173" s="420">
        <v>93.218806509945736</v>
      </c>
      <c r="G173" s="130">
        <v>314274</v>
      </c>
      <c r="H173" s="129">
        <v>169.6</v>
      </c>
      <c r="I173" s="130">
        <f t="shared" si="20"/>
        <v>1853.0306603773586</v>
      </c>
      <c r="J173" s="130">
        <f t="shared" si="28"/>
        <v>2272.6789086725189</v>
      </c>
      <c r="K173" s="133">
        <f t="shared" si="24"/>
        <v>99.443965888347421</v>
      </c>
      <c r="L173" s="130">
        <f t="shared" si="29"/>
        <v>8633.4010771261164</v>
      </c>
      <c r="M173" s="130">
        <f t="shared" si="29"/>
        <v>6529.9027487087296</v>
      </c>
      <c r="N173" s="130">
        <f t="shared" si="22"/>
        <v>7900.3488389059621</v>
      </c>
      <c r="O173" s="132">
        <f t="shared" si="25"/>
        <v>99.082588010939105</v>
      </c>
      <c r="P173" s="130">
        <v>201600</v>
      </c>
      <c r="Q173" s="130">
        <v>38050</v>
      </c>
      <c r="R173" s="130">
        <f t="shared" si="23"/>
        <v>119825</v>
      </c>
      <c r="S173" s="133">
        <f t="shared" si="26"/>
        <v>141.0286588595304</v>
      </c>
      <c r="T173" s="131">
        <v>93.167101575335849</v>
      </c>
      <c r="U173" s="133">
        <v>99.443965888347421</v>
      </c>
      <c r="V173" s="133">
        <v>98.019117689293793</v>
      </c>
      <c r="W173" s="116">
        <v>41017</v>
      </c>
      <c r="X173" s="134">
        <v>1.4</v>
      </c>
      <c r="Y173" s="135">
        <f>1.3*17/30+1.4*13/30</f>
        <v>1.3433333333333333</v>
      </c>
      <c r="Z173" s="137">
        <f t="shared" si="27"/>
        <v>80.86084142394823</v>
      </c>
    </row>
    <row r="174" spans="2:26" ht="12" hidden="1" customHeight="1">
      <c r="B174" s="103" t="s">
        <v>220</v>
      </c>
      <c r="C174" s="270" t="s">
        <v>220</v>
      </c>
      <c r="D174" s="424">
        <v>91.637010676156578</v>
      </c>
      <c r="E174" s="420">
        <v>97.061704211557299</v>
      </c>
      <c r="F174" s="420">
        <v>93.037974683544306</v>
      </c>
      <c r="G174" s="130">
        <v>306711</v>
      </c>
      <c r="H174" s="129">
        <v>153.69999999999999</v>
      </c>
      <c r="I174" s="130">
        <f t="shared" si="20"/>
        <v>1995.5172413793105</v>
      </c>
      <c r="J174" s="130">
        <f t="shared" si="28"/>
        <v>2269.8678312528104</v>
      </c>
      <c r="K174" s="133">
        <f t="shared" si="24"/>
        <v>99.320963608540865</v>
      </c>
      <c r="L174" s="130">
        <f t="shared" si="29"/>
        <v>8633.7663561369791</v>
      </c>
      <c r="M174" s="130">
        <f t="shared" si="29"/>
        <v>6529.7196117510503</v>
      </c>
      <c r="N174" s="130">
        <f t="shared" si="22"/>
        <v>7900.5229993655139</v>
      </c>
      <c r="O174" s="132">
        <f t="shared" si="25"/>
        <v>99.084772252345843</v>
      </c>
      <c r="P174" s="130">
        <v>224400</v>
      </c>
      <c r="Q174" s="130">
        <v>41150</v>
      </c>
      <c r="R174" s="130">
        <f t="shared" si="23"/>
        <v>132775</v>
      </c>
      <c r="S174" s="133">
        <f t="shared" si="26"/>
        <v>156.27022891778967</v>
      </c>
      <c r="T174" s="131">
        <v>91.814052382333045</v>
      </c>
      <c r="U174" s="133">
        <v>99.320963608540865</v>
      </c>
      <c r="V174" s="133">
        <v>97.616894760191684</v>
      </c>
      <c r="W174" s="116">
        <v>41052</v>
      </c>
      <c r="X174" s="134">
        <v>1.2</v>
      </c>
      <c r="Y174" s="135">
        <f>1.4*22/31+1.2*9/31</f>
        <v>1.3419354838709676</v>
      </c>
      <c r="Z174" s="137">
        <f t="shared" si="27"/>
        <v>80.776699029126206</v>
      </c>
    </row>
    <row r="175" spans="2:26" ht="12" hidden="1" customHeight="1">
      <c r="B175" s="103" t="s">
        <v>221</v>
      </c>
      <c r="C175" s="270" t="s">
        <v>221</v>
      </c>
      <c r="D175" s="424">
        <v>91.548042704626326</v>
      </c>
      <c r="E175" s="420">
        <v>96.963761018609219</v>
      </c>
      <c r="F175" s="420">
        <v>92.585895117540687</v>
      </c>
      <c r="G175" s="130">
        <v>492224</v>
      </c>
      <c r="H175" s="129">
        <v>170.7</v>
      </c>
      <c r="I175" s="130">
        <f t="shared" si="20"/>
        <v>2883.561804335091</v>
      </c>
      <c r="J175" s="130">
        <f t="shared" si="28"/>
        <v>2271.7068109791476</v>
      </c>
      <c r="K175" s="133">
        <f t="shared" si="24"/>
        <v>99.401430513248513</v>
      </c>
      <c r="L175" s="130">
        <f t="shared" ref="L175:M190" si="30">AVERAGE(L139:L174)</f>
        <v>8634.1184399407903</v>
      </c>
      <c r="M175" s="130">
        <f t="shared" si="30"/>
        <v>6529.5356348167807</v>
      </c>
      <c r="N175" s="130">
        <f t="shared" si="22"/>
        <v>7900.6882703163901</v>
      </c>
      <c r="O175" s="132">
        <f t="shared" si="25"/>
        <v>99.086845005571007</v>
      </c>
      <c r="P175" s="130">
        <v>199100</v>
      </c>
      <c r="Q175" s="130">
        <v>46460</v>
      </c>
      <c r="R175" s="130">
        <f t="shared" si="23"/>
        <v>122780</v>
      </c>
      <c r="S175" s="133">
        <f t="shared" si="26"/>
        <v>144.50656152533398</v>
      </c>
      <c r="T175" s="131">
        <v>93.457040688122163</v>
      </c>
      <c r="U175" s="133">
        <v>99.401430513248513</v>
      </c>
      <c r="V175" s="133">
        <v>98.05205402294483</v>
      </c>
      <c r="W175" s="116"/>
      <c r="X175" s="134">
        <v>1.2</v>
      </c>
      <c r="Y175" s="135">
        <v>1.2</v>
      </c>
      <c r="Z175" s="137">
        <f t="shared" si="27"/>
        <v>72.233009708737868</v>
      </c>
    </row>
    <row r="176" spans="2:26" ht="12" hidden="1" customHeight="1">
      <c r="B176" s="103" t="s">
        <v>203</v>
      </c>
      <c r="C176" s="270" t="s">
        <v>203</v>
      </c>
      <c r="D176" s="424">
        <v>91.459074733096074</v>
      </c>
      <c r="E176" s="420">
        <v>97.061704211557299</v>
      </c>
      <c r="F176" s="420">
        <v>92.585895117540687</v>
      </c>
      <c r="G176" s="130">
        <v>494035</v>
      </c>
      <c r="H176" s="129">
        <v>167.6</v>
      </c>
      <c r="I176" s="130">
        <f t="shared" si="20"/>
        <v>2947.7028639618138</v>
      </c>
      <c r="J176" s="130">
        <f t="shared" si="28"/>
        <v>2269.763987441675</v>
      </c>
      <c r="K176" s="133">
        <f t="shared" si="24"/>
        <v>99.316419790066163</v>
      </c>
      <c r="L176" s="130">
        <f t="shared" si="30"/>
        <v>8634.4678876934704</v>
      </c>
      <c r="M176" s="130">
        <f t="shared" si="30"/>
        <v>6529.4527644017844</v>
      </c>
      <c r="N176" s="130">
        <f t="shared" si="22"/>
        <v>7900.8870586669891</v>
      </c>
      <c r="O176" s="132">
        <f t="shared" si="25"/>
        <v>99.089338118805045</v>
      </c>
      <c r="P176" s="130">
        <v>221100</v>
      </c>
      <c r="Q176" s="130">
        <v>39110</v>
      </c>
      <c r="R176" s="130">
        <f t="shared" si="23"/>
        <v>130105</v>
      </c>
      <c r="S176" s="133">
        <f t="shared" si="26"/>
        <v>153.12775848878951</v>
      </c>
      <c r="T176" s="131">
        <v>94.326858026481105</v>
      </c>
      <c r="U176" s="133">
        <v>99.316419790066163</v>
      </c>
      <c r="V176" s="133">
        <v>98.183789269732358</v>
      </c>
      <c r="W176" s="116"/>
      <c r="X176" s="134">
        <v>1.2</v>
      </c>
      <c r="Y176" s="135">
        <v>1.2</v>
      </c>
      <c r="Z176" s="137">
        <f t="shared" si="27"/>
        <v>72.233009708737868</v>
      </c>
    </row>
    <row r="177" spans="2:26" ht="12" hidden="1" customHeight="1">
      <c r="B177" s="103" t="s">
        <v>204</v>
      </c>
      <c r="C177" s="270" t="s">
        <v>204</v>
      </c>
      <c r="D177" s="424">
        <v>91.459074733096074</v>
      </c>
      <c r="E177" s="420">
        <v>97.061704211557299</v>
      </c>
      <c r="F177" s="420">
        <v>92.676311030741402</v>
      </c>
      <c r="G177" s="130">
        <v>315646</v>
      </c>
      <c r="H177" s="129">
        <v>155.9</v>
      </c>
      <c r="I177" s="130">
        <f t="shared" si="20"/>
        <v>2024.6696600384862</v>
      </c>
      <c r="J177" s="130">
        <f t="shared" si="28"/>
        <v>2273.1208780132088</v>
      </c>
      <c r="K177" s="133">
        <f t="shared" si="24"/>
        <v>99.463304820860728</v>
      </c>
      <c r="L177" s="130">
        <f t="shared" si="30"/>
        <v>8634.850546710235</v>
      </c>
      <c r="M177" s="130">
        <f t="shared" si="30"/>
        <v>6529.5292286282283</v>
      </c>
      <c r="N177" s="130">
        <f t="shared" si="22"/>
        <v>7901.163011263623</v>
      </c>
      <c r="O177" s="132">
        <f t="shared" si="25"/>
        <v>99.092798990976689</v>
      </c>
      <c r="P177" s="130">
        <v>237200</v>
      </c>
      <c r="Q177" s="130">
        <v>27830</v>
      </c>
      <c r="R177" s="130">
        <f t="shared" si="23"/>
        <v>132515</v>
      </c>
      <c r="S177" s="133">
        <f t="shared" si="26"/>
        <v>155.96422056140764</v>
      </c>
      <c r="T177" s="131">
        <v>94.036918913694791</v>
      </c>
      <c r="U177" s="133">
        <v>99.463304820860728</v>
      </c>
      <c r="V177" s="133">
        <v>98.231515219934067</v>
      </c>
      <c r="W177" s="116">
        <v>41141</v>
      </c>
      <c r="X177" s="134">
        <v>1.1000000000000001</v>
      </c>
      <c r="Y177" s="135">
        <f>1.2*19/31+1.1*12/31</f>
        <v>1.1612903225806452</v>
      </c>
      <c r="Z177" s="137">
        <f t="shared" si="27"/>
        <v>69.902912621359235</v>
      </c>
    </row>
    <row r="178" spans="2:26" ht="12" hidden="1" customHeight="1">
      <c r="B178" s="103" t="s">
        <v>224</v>
      </c>
      <c r="C178" s="270" t="s">
        <v>224</v>
      </c>
      <c r="D178" s="424">
        <v>91.370106761565836</v>
      </c>
      <c r="E178" s="420">
        <v>97.061704211557299</v>
      </c>
      <c r="F178" s="420">
        <v>93.037974683544306</v>
      </c>
      <c r="G178" s="130">
        <v>305264</v>
      </c>
      <c r="H178" s="129">
        <v>162.69999999999999</v>
      </c>
      <c r="I178" s="130">
        <f t="shared" si="20"/>
        <v>1876.2384757221882</v>
      </c>
      <c r="J178" s="130">
        <f t="shared" si="28"/>
        <v>2274.6544705022529</v>
      </c>
      <c r="K178" s="133">
        <f t="shared" si="24"/>
        <v>99.530409117286055</v>
      </c>
      <c r="L178" s="130">
        <f t="shared" si="30"/>
        <v>8634.9886714380464</v>
      </c>
      <c r="M178" s="130">
        <f t="shared" si="30"/>
        <v>6529.6813507712641</v>
      </c>
      <c r="N178" s="130">
        <f t="shared" si="22"/>
        <v>7901.3060139779873</v>
      </c>
      <c r="O178" s="132">
        <f t="shared" si="25"/>
        <v>99.094592466090347</v>
      </c>
      <c r="P178" s="130">
        <v>227400</v>
      </c>
      <c r="Q178" s="130">
        <v>23230</v>
      </c>
      <c r="R178" s="130">
        <f t="shared" si="23"/>
        <v>125315</v>
      </c>
      <c r="S178" s="133">
        <f t="shared" si="26"/>
        <v>147.49014300005885</v>
      </c>
      <c r="T178" s="131">
        <v>94.230211655552338</v>
      </c>
      <c r="U178" s="133">
        <v>99.530409117286055</v>
      </c>
      <c r="V178" s="133">
        <v>98.32726429347251</v>
      </c>
      <c r="W178" s="116">
        <v>41172</v>
      </c>
      <c r="X178" s="134">
        <v>1.2</v>
      </c>
      <c r="Y178" s="135">
        <f>1.1*19/30+1.2*11/30</f>
        <v>1.1366666666666667</v>
      </c>
      <c r="Z178" s="137">
        <f t="shared" si="27"/>
        <v>68.420711974110034</v>
      </c>
    </row>
    <row r="179" spans="2:26" ht="12" hidden="1" customHeight="1">
      <c r="B179" s="103" t="s">
        <v>225</v>
      </c>
      <c r="C179" s="270" t="s">
        <v>225</v>
      </c>
      <c r="D179" s="424">
        <v>91.459074733096074</v>
      </c>
      <c r="E179" s="420">
        <v>97.061704211557299</v>
      </c>
      <c r="F179" s="420">
        <v>93.942133815551529</v>
      </c>
      <c r="G179" s="130">
        <v>305342</v>
      </c>
      <c r="H179" s="129">
        <v>164.8</v>
      </c>
      <c r="I179" s="130">
        <f t="shared" si="20"/>
        <v>1852.8033980582522</v>
      </c>
      <c r="J179" s="130">
        <f t="shared" si="28"/>
        <v>2272.6815142371543</v>
      </c>
      <c r="K179" s="133">
        <f t="shared" si="24"/>
        <v>99.444079898153078</v>
      </c>
      <c r="L179" s="130">
        <f t="shared" si="30"/>
        <v>8634.905418414075</v>
      </c>
      <c r="M179" s="130">
        <f t="shared" si="30"/>
        <v>6529.8129664063272</v>
      </c>
      <c r="N179" s="130">
        <f t="shared" si="22"/>
        <v>7901.2976409523981</v>
      </c>
      <c r="O179" s="132">
        <f t="shared" si="25"/>
        <v>99.094487455405158</v>
      </c>
      <c r="P179" s="130">
        <v>220900</v>
      </c>
      <c r="Q179" s="130">
        <v>23500</v>
      </c>
      <c r="R179" s="130">
        <f t="shared" si="23"/>
        <v>122200</v>
      </c>
      <c r="S179" s="133">
        <f t="shared" si="26"/>
        <v>143.82392749955864</v>
      </c>
      <c r="T179" s="131">
        <v>93.940272542766024</v>
      </c>
      <c r="U179" s="133">
        <v>99.444079898153078</v>
      </c>
      <c r="V179" s="133">
        <v>98.194715628480225</v>
      </c>
      <c r="W179" s="116"/>
      <c r="X179" s="134">
        <v>1.2</v>
      </c>
      <c r="Y179" s="135">
        <v>1.2</v>
      </c>
      <c r="Z179" s="137">
        <f t="shared" si="27"/>
        <v>72.233009708737868</v>
      </c>
    </row>
    <row r="180" spans="2:26" ht="12" hidden="1" customHeight="1">
      <c r="B180" s="103" t="s">
        <v>226</v>
      </c>
      <c r="C180" s="270" t="s">
        <v>226</v>
      </c>
      <c r="D180" s="424">
        <v>91.459074733096074</v>
      </c>
      <c r="E180" s="420">
        <v>97.061704211557299</v>
      </c>
      <c r="F180" s="420">
        <v>93.942133815551529</v>
      </c>
      <c r="G180" s="130">
        <v>318634</v>
      </c>
      <c r="H180" s="129">
        <v>171.2</v>
      </c>
      <c r="I180" s="130">
        <f t="shared" si="20"/>
        <v>1861.1799065420562</v>
      </c>
      <c r="J180" s="130">
        <f t="shared" si="28"/>
        <v>2267.039704941953</v>
      </c>
      <c r="K180" s="133">
        <f t="shared" si="24"/>
        <v>99.197215332745429</v>
      </c>
      <c r="L180" s="130">
        <f t="shared" si="30"/>
        <v>8634.7967156299455</v>
      </c>
      <c r="M180" s="130">
        <f t="shared" si="30"/>
        <v>6529.9305349541646</v>
      </c>
      <c r="N180" s="130">
        <f t="shared" si="22"/>
        <v>7901.2677919063972</v>
      </c>
      <c r="O180" s="132">
        <f t="shared" si="25"/>
        <v>99.094113102223076</v>
      </c>
      <c r="P180" s="130">
        <v>237500</v>
      </c>
      <c r="Q180" s="130">
        <v>26700</v>
      </c>
      <c r="R180" s="130">
        <f t="shared" si="23"/>
        <v>132100</v>
      </c>
      <c r="S180" s="133">
        <f t="shared" si="26"/>
        <v>155.47578414641322</v>
      </c>
      <c r="T180" s="131">
        <v>93.940272542766024</v>
      </c>
      <c r="U180" s="133">
        <v>99.197215332745429</v>
      </c>
      <c r="V180" s="133">
        <v>98.003889319420111</v>
      </c>
      <c r="W180" s="116">
        <v>41232</v>
      </c>
      <c r="X180" s="134">
        <v>1.2</v>
      </c>
      <c r="Y180" s="135">
        <v>1.2</v>
      </c>
      <c r="Z180" s="137">
        <f t="shared" si="27"/>
        <v>72.233009708737868</v>
      </c>
    </row>
    <row r="181" spans="2:26" ht="12" hidden="1" customHeight="1">
      <c r="B181" s="105" t="s">
        <v>227</v>
      </c>
      <c r="C181" s="271" t="s">
        <v>227</v>
      </c>
      <c r="D181" s="425">
        <v>91.370106761565836</v>
      </c>
      <c r="E181" s="426">
        <v>97.061704211557299</v>
      </c>
      <c r="F181" s="426">
        <v>94.213381555153703</v>
      </c>
      <c r="G181" s="150">
        <v>680732</v>
      </c>
      <c r="H181" s="149">
        <v>163.80000000000001</v>
      </c>
      <c r="I181" s="150">
        <f t="shared" si="20"/>
        <v>4155.8730158730159</v>
      </c>
      <c r="J181" s="150">
        <f t="shared" si="28"/>
        <v>2272.8801056830757</v>
      </c>
      <c r="K181" s="152">
        <f t="shared" si="24"/>
        <v>99.452769520298361</v>
      </c>
      <c r="L181" s="150">
        <f t="shared" si="30"/>
        <v>8634.7345159176712</v>
      </c>
      <c r="M181" s="150">
        <f t="shared" si="30"/>
        <v>6530.0038534781106</v>
      </c>
      <c r="N181" s="150">
        <f t="shared" si="22"/>
        <v>7901.2528192087766</v>
      </c>
      <c r="O181" s="153">
        <f t="shared" si="25"/>
        <v>99.093925321447813</v>
      </c>
      <c r="P181" s="150">
        <v>228000</v>
      </c>
      <c r="Q181" s="150">
        <v>32200</v>
      </c>
      <c r="R181" s="150">
        <f t="shared" si="23"/>
        <v>130100</v>
      </c>
      <c r="S181" s="152">
        <f t="shared" si="26"/>
        <v>153.12187371270522</v>
      </c>
      <c r="T181" s="151">
        <v>93.457040688122163</v>
      </c>
      <c r="U181" s="152">
        <v>99.452769520298361</v>
      </c>
      <c r="V181" s="152">
        <v>98.091739075394358</v>
      </c>
      <c r="W181" s="154"/>
      <c r="X181" s="155">
        <v>1.2</v>
      </c>
      <c r="Y181" s="156">
        <v>1.2</v>
      </c>
      <c r="Z181" s="157">
        <f t="shared" si="27"/>
        <v>72.233009708737868</v>
      </c>
    </row>
    <row r="182" spans="2:26" ht="12" hidden="1" customHeight="1">
      <c r="B182" s="104" t="s">
        <v>245</v>
      </c>
      <c r="C182" s="272" t="s">
        <v>246</v>
      </c>
      <c r="D182" s="424">
        <v>91.370106761565836</v>
      </c>
      <c r="E182" s="420">
        <v>97.159647404505392</v>
      </c>
      <c r="F182" s="420">
        <v>94.394213381555147</v>
      </c>
      <c r="G182" s="130">
        <v>307777</v>
      </c>
      <c r="H182" s="129">
        <v>143.19999999999999</v>
      </c>
      <c r="I182" s="130">
        <f t="shared" si="20"/>
        <v>2149.2807262569836</v>
      </c>
      <c r="J182" s="130">
        <f t="shared" si="28"/>
        <v>2276.5636424922154</v>
      </c>
      <c r="K182" s="133">
        <f t="shared" si="24"/>
        <v>99.613947374063258</v>
      </c>
      <c r="L182" s="130">
        <f t="shared" si="30"/>
        <v>8634.5648508543891</v>
      </c>
      <c r="M182" s="130">
        <f t="shared" si="30"/>
        <v>6530.035002556664</v>
      </c>
      <c r="N182" s="130">
        <f t="shared" si="22"/>
        <v>7901.1531362577462</v>
      </c>
      <c r="O182" s="132">
        <f t="shared" si="25"/>
        <v>99.092675143136702</v>
      </c>
      <c r="P182" s="130">
        <v>220400</v>
      </c>
      <c r="Q182" s="130">
        <v>33400</v>
      </c>
      <c r="R182" s="130">
        <f t="shared" si="23"/>
        <v>126900</v>
      </c>
      <c r="S182" s="133">
        <f t="shared" si="26"/>
        <v>149.35561701877245</v>
      </c>
      <c r="T182" s="162">
        <v>93.457040688122163</v>
      </c>
      <c r="U182" s="133">
        <v>99.613947374063258</v>
      </c>
      <c r="V182" s="133">
        <v>98.216329556354637</v>
      </c>
      <c r="W182" s="113">
        <v>41298</v>
      </c>
      <c r="X182" s="134">
        <v>1.3</v>
      </c>
      <c r="Y182" s="135">
        <f>1.2*23/31+1.3*8/31</f>
        <v>1.2258064516129032</v>
      </c>
      <c r="Z182" s="137">
        <f t="shared" si="27"/>
        <v>73.786407766990308</v>
      </c>
    </row>
    <row r="183" spans="2:26" ht="12" hidden="1" customHeight="1">
      <c r="B183" s="103" t="s">
        <v>198</v>
      </c>
      <c r="C183" s="270" t="s">
        <v>198</v>
      </c>
      <c r="D183" s="424">
        <v>91.725978647686816</v>
      </c>
      <c r="E183" s="420">
        <v>97.061704211557299</v>
      </c>
      <c r="F183" s="420">
        <v>94.755877034358036</v>
      </c>
      <c r="G183" s="130">
        <v>303316</v>
      </c>
      <c r="H183" s="129">
        <v>163.69999999999999</v>
      </c>
      <c r="I183" s="130">
        <f t="shared" si="20"/>
        <v>1852.877214416616</v>
      </c>
      <c r="J183" s="130">
        <f t="shared" si="28"/>
        <v>2278.7042040110596</v>
      </c>
      <c r="K183" s="133">
        <f t="shared" si="24"/>
        <v>99.707610374960382</v>
      </c>
      <c r="L183" s="130">
        <f t="shared" si="30"/>
        <v>8634.5302549265398</v>
      </c>
      <c r="M183" s="130">
        <f t="shared" si="30"/>
        <v>6530.0331569439959</v>
      </c>
      <c r="N183" s="130">
        <f t="shared" si="22"/>
        <v>7901.1299535511589</v>
      </c>
      <c r="O183" s="132">
        <f t="shared" si="25"/>
        <v>99.092384396156703</v>
      </c>
      <c r="P183" s="130">
        <v>223100</v>
      </c>
      <c r="Q183" s="130">
        <v>37370</v>
      </c>
      <c r="R183" s="130">
        <f t="shared" si="23"/>
        <v>130235</v>
      </c>
      <c r="S183" s="133">
        <f t="shared" si="26"/>
        <v>153.28076266698051</v>
      </c>
      <c r="T183" s="162">
        <v>93.457040688122163</v>
      </c>
      <c r="U183" s="133">
        <v>99.707610374960382</v>
      </c>
      <c r="V183" s="133">
        <v>98.288731056048093</v>
      </c>
      <c r="W183" s="113">
        <v>41326</v>
      </c>
      <c r="X183" s="134">
        <v>1.2</v>
      </c>
      <c r="Y183" s="135">
        <f>1.3*20/28+1.2*8/28</f>
        <v>1.2714285714285714</v>
      </c>
      <c r="Z183" s="137">
        <f t="shared" si="27"/>
        <v>76.532593619972261</v>
      </c>
    </row>
    <row r="184" spans="2:26" ht="12" hidden="1" customHeight="1">
      <c r="B184" s="103" t="s">
        <v>219</v>
      </c>
      <c r="C184" s="270" t="s">
        <v>219</v>
      </c>
      <c r="D184" s="424">
        <v>91.90391459074732</v>
      </c>
      <c r="E184" s="420">
        <v>97.159647404505392</v>
      </c>
      <c r="F184" s="420">
        <v>95.02712477396021</v>
      </c>
      <c r="G184" s="130">
        <v>311167</v>
      </c>
      <c r="H184" s="129">
        <v>159.9</v>
      </c>
      <c r="I184" s="130">
        <f t="shared" si="20"/>
        <v>1946.0100062539086</v>
      </c>
      <c r="J184" s="130">
        <f t="shared" si="28"/>
        <v>2283.2287477679233</v>
      </c>
      <c r="K184" s="133">
        <f t="shared" si="24"/>
        <v>99.905587560959205</v>
      </c>
      <c r="L184" s="130">
        <f t="shared" si="30"/>
        <v>8634.5051324367105</v>
      </c>
      <c r="M184" s="130">
        <f t="shared" si="30"/>
        <v>6530.0299386478555</v>
      </c>
      <c r="N184" s="130">
        <f t="shared" si="22"/>
        <v>7901.1124644965412</v>
      </c>
      <c r="O184" s="132">
        <f t="shared" si="25"/>
        <v>99.09216505637454</v>
      </c>
      <c r="P184" s="130">
        <v>209300</v>
      </c>
      <c r="Q184" s="130">
        <v>49070</v>
      </c>
      <c r="R184" s="130">
        <f t="shared" si="23"/>
        <v>129185</v>
      </c>
      <c r="S184" s="133">
        <f t="shared" si="26"/>
        <v>152.04495968928381</v>
      </c>
      <c r="T184" s="159">
        <v>92.490576978834454</v>
      </c>
      <c r="U184" s="133">
        <v>99.905587560959205</v>
      </c>
      <c r="V184" s="133">
        <v>98.22238015881689</v>
      </c>
      <c r="W184" s="113">
        <v>41354</v>
      </c>
      <c r="X184" s="134">
        <v>1.1000000000000001</v>
      </c>
      <c r="Y184" s="135">
        <f>1.2*20/31+1.1*11/31</f>
        <v>1.1645161290322581</v>
      </c>
      <c r="Z184" s="137">
        <f t="shared" si="27"/>
        <v>70.097087378640794</v>
      </c>
    </row>
    <row r="185" spans="2:26" ht="12" hidden="1" customHeight="1">
      <c r="B185" s="103" t="s">
        <v>200</v>
      </c>
      <c r="C185" s="270" t="s">
        <v>200</v>
      </c>
      <c r="D185" s="424">
        <v>92.081850533807824</v>
      </c>
      <c r="E185" s="420">
        <v>97.159647404505392</v>
      </c>
      <c r="F185" s="420">
        <v>95.840867992766718</v>
      </c>
      <c r="G185" s="130">
        <v>312303</v>
      </c>
      <c r="H185" s="129">
        <v>167.9</v>
      </c>
      <c r="I185" s="130">
        <f t="shared" si="20"/>
        <v>1860.0536033353185</v>
      </c>
      <c r="J185" s="130">
        <f t="shared" si="28"/>
        <v>2283.8139930144202</v>
      </c>
      <c r="K185" s="133">
        <f t="shared" si="24"/>
        <v>99.931195713570148</v>
      </c>
      <c r="L185" s="130">
        <f t="shared" si="30"/>
        <v>8634.48616406773</v>
      </c>
      <c r="M185" s="130">
        <f t="shared" si="30"/>
        <v>6530.0269315446021</v>
      </c>
      <c r="N185" s="130">
        <f t="shared" si="22"/>
        <v>7901.0990585002082</v>
      </c>
      <c r="O185" s="132">
        <f t="shared" si="25"/>
        <v>99.091996924455486</v>
      </c>
      <c r="P185" s="130">
        <v>198200</v>
      </c>
      <c r="Q185" s="130">
        <v>54300</v>
      </c>
      <c r="R185" s="130">
        <f t="shared" si="23"/>
        <v>126250</v>
      </c>
      <c r="S185" s="133">
        <f t="shared" si="26"/>
        <v>148.59059612781732</v>
      </c>
      <c r="T185" s="162">
        <v>92.393930607905673</v>
      </c>
      <c r="U185" s="133">
        <v>99.931195713570148</v>
      </c>
      <c r="V185" s="133">
        <v>98.220236534584316</v>
      </c>
      <c r="W185" s="113"/>
      <c r="X185" s="134">
        <v>1.1000000000000001</v>
      </c>
      <c r="Y185" s="135">
        <v>1</v>
      </c>
      <c r="Z185" s="137">
        <f t="shared" si="27"/>
        <v>60.194174757281559</v>
      </c>
    </row>
    <row r="186" spans="2:26" ht="12" hidden="1" customHeight="1">
      <c r="B186" s="103" t="s">
        <v>220</v>
      </c>
      <c r="C186" s="270" t="s">
        <v>220</v>
      </c>
      <c r="D186" s="424">
        <v>92.170818505338062</v>
      </c>
      <c r="E186" s="420">
        <v>97.257590597453486</v>
      </c>
      <c r="F186" s="420">
        <v>95.931283905967433</v>
      </c>
      <c r="G186" s="130">
        <v>305065</v>
      </c>
      <c r="H186" s="129">
        <v>155.30000000000001</v>
      </c>
      <c r="I186" s="130">
        <f t="shared" si="20"/>
        <v>1964.3593045717964</v>
      </c>
      <c r="J186" s="130">
        <f t="shared" si="28"/>
        <v>2281.2174982804609</v>
      </c>
      <c r="K186" s="133">
        <f t="shared" si="24"/>
        <v>99.817582773014479</v>
      </c>
      <c r="L186" s="130">
        <f t="shared" si="30"/>
        <v>8634.4685309475535</v>
      </c>
      <c r="M186" s="130">
        <f t="shared" si="30"/>
        <v>6530.0266905435901</v>
      </c>
      <c r="N186" s="130">
        <f t="shared" si="22"/>
        <v>7901.0874863935869</v>
      </c>
      <c r="O186" s="132">
        <f t="shared" si="25"/>
        <v>99.091851792348507</v>
      </c>
      <c r="P186" s="130">
        <v>229100</v>
      </c>
      <c r="Q186" s="130">
        <v>56070</v>
      </c>
      <c r="R186" s="130">
        <f t="shared" si="23"/>
        <v>142585</v>
      </c>
      <c r="S186" s="133">
        <f t="shared" si="26"/>
        <v>167.8161595951274</v>
      </c>
      <c r="T186" s="159">
        <v>90.944235043974103</v>
      </c>
      <c r="U186" s="133">
        <v>99.817582773014479</v>
      </c>
      <c r="V186" s="133">
        <v>97.803332838522309</v>
      </c>
      <c r="W186" s="113">
        <v>41414</v>
      </c>
      <c r="X186" s="134">
        <v>1</v>
      </c>
      <c r="Y186" s="135">
        <f>1.1*19/31+1*12/31</f>
        <v>1.0612903225806454</v>
      </c>
      <c r="Z186" s="137">
        <f t="shared" si="27"/>
        <v>63.883495145631088</v>
      </c>
    </row>
    <row r="187" spans="2:26" ht="12" hidden="1" customHeight="1">
      <c r="B187" s="103" t="s">
        <v>221</v>
      </c>
      <c r="C187" s="270" t="s">
        <v>221</v>
      </c>
      <c r="D187" s="424">
        <v>92.52669039145907</v>
      </c>
      <c r="E187" s="420">
        <v>97.257590597453486</v>
      </c>
      <c r="F187" s="420">
        <v>96.112115732368892</v>
      </c>
      <c r="G187" s="130">
        <v>488198</v>
      </c>
      <c r="H187" s="129">
        <v>168</v>
      </c>
      <c r="I187" s="130">
        <f t="shared" si="20"/>
        <v>2905.9404761904761</v>
      </c>
      <c r="J187" s="130">
        <f t="shared" si="28"/>
        <v>2283.082387601743</v>
      </c>
      <c r="K187" s="133">
        <f t="shared" si="24"/>
        <v>99.89918338511302</v>
      </c>
      <c r="L187" s="130">
        <f t="shared" si="30"/>
        <v>8634.4453689035854</v>
      </c>
      <c r="M187" s="130">
        <f t="shared" si="30"/>
        <v>6530.0292608546806</v>
      </c>
      <c r="N187" s="130">
        <f t="shared" si="22"/>
        <v>7901.0732918682597</v>
      </c>
      <c r="O187" s="132">
        <f t="shared" si="25"/>
        <v>99.091673771056833</v>
      </c>
      <c r="P187" s="130">
        <v>209100</v>
      </c>
      <c r="Q187" s="130">
        <v>66000</v>
      </c>
      <c r="R187" s="130">
        <f t="shared" si="23"/>
        <v>137550</v>
      </c>
      <c r="S187" s="133">
        <f t="shared" si="26"/>
        <v>161.89019007826752</v>
      </c>
      <c r="T187" s="159">
        <v>90.557649560259023</v>
      </c>
      <c r="U187" s="133">
        <v>99.89918338511302</v>
      </c>
      <c r="V187" s="133">
        <v>97.77865520687115</v>
      </c>
      <c r="W187" s="113">
        <v>41444</v>
      </c>
      <c r="X187" s="134">
        <v>1.2</v>
      </c>
      <c r="Y187" s="135">
        <f>1*18/30+1.2*12/30</f>
        <v>1.0799999999999998</v>
      </c>
      <c r="Z187" s="137">
        <f t="shared" si="27"/>
        <v>65.009708737864074</v>
      </c>
    </row>
    <row r="188" spans="2:26" ht="12" hidden="1" customHeight="1">
      <c r="B188" s="103" t="s">
        <v>203</v>
      </c>
      <c r="C188" s="270" t="s">
        <v>203</v>
      </c>
      <c r="D188" s="424">
        <v>92.793594306049812</v>
      </c>
      <c r="E188" s="420">
        <v>97.257590597453486</v>
      </c>
      <c r="F188" s="420">
        <v>96.83544303797467</v>
      </c>
      <c r="G188" s="130">
        <v>498397</v>
      </c>
      <c r="H188" s="129">
        <v>168</v>
      </c>
      <c r="I188" s="130">
        <f t="shared" si="20"/>
        <v>2966.6488095238096</v>
      </c>
      <c r="J188" s="130">
        <f t="shared" si="28"/>
        <v>2284.661216398576</v>
      </c>
      <c r="K188" s="133">
        <f t="shared" si="24"/>
        <v>99.968267053913166</v>
      </c>
      <c r="L188" s="130">
        <f t="shared" si="30"/>
        <v>8634.417104335118</v>
      </c>
      <c r="M188" s="130">
        <f t="shared" si="30"/>
        <v>6530.0348135885815</v>
      </c>
      <c r="N188" s="130">
        <f t="shared" si="22"/>
        <v>7901.0568123575013</v>
      </c>
      <c r="O188" s="132">
        <f t="shared" si="25"/>
        <v>99.091467092515359</v>
      </c>
      <c r="P188" s="130">
        <v>211500</v>
      </c>
      <c r="Q188" s="130">
        <v>62190</v>
      </c>
      <c r="R188" s="130">
        <f t="shared" si="23"/>
        <v>136845</v>
      </c>
      <c r="S188" s="133">
        <f t="shared" si="26"/>
        <v>161.06043665038544</v>
      </c>
      <c r="T188" s="159">
        <v>92.20063786604814</v>
      </c>
      <c r="U188" s="133">
        <v>99.968267053913166</v>
      </c>
      <c r="V188" s="133">
        <v>98.205015228267797</v>
      </c>
      <c r="W188" s="113">
        <v>41474</v>
      </c>
      <c r="X188" s="134">
        <v>1.3</v>
      </c>
      <c r="Y188" s="135">
        <f>1.2*18/31+1.3*13/31</f>
        <v>1.2419354838709677</v>
      </c>
      <c r="Z188" s="137">
        <f t="shared" si="27"/>
        <v>74.757281553398073</v>
      </c>
    </row>
    <row r="189" spans="2:26" ht="12" hidden="1" customHeight="1">
      <c r="B189" s="103" t="s">
        <v>204</v>
      </c>
      <c r="C189" s="270" t="s">
        <v>204</v>
      </c>
      <c r="D189" s="424">
        <v>92.793594306049812</v>
      </c>
      <c r="E189" s="420">
        <v>97.35553379040158</v>
      </c>
      <c r="F189" s="420">
        <v>97.106690777576844</v>
      </c>
      <c r="G189" s="130">
        <v>313478</v>
      </c>
      <c r="H189" s="129">
        <v>156.4</v>
      </c>
      <c r="I189" s="130">
        <f t="shared" si="20"/>
        <v>2004.3350383631712</v>
      </c>
      <c r="J189" s="130">
        <f t="shared" si="28"/>
        <v>2282.9666645922994</v>
      </c>
      <c r="K189" s="133">
        <f t="shared" si="24"/>
        <v>99.894119777156931</v>
      </c>
      <c r="L189" s="130">
        <f t="shared" si="30"/>
        <v>8634.3842330286843</v>
      </c>
      <c r="M189" s="130">
        <f t="shared" si="30"/>
        <v>6530.0411484871638</v>
      </c>
      <c r="N189" s="130">
        <f t="shared" si="22"/>
        <v>7901.0376040979791</v>
      </c>
      <c r="O189" s="132">
        <f t="shared" si="25"/>
        <v>99.09122619124588</v>
      </c>
      <c r="P189" s="130">
        <v>223100</v>
      </c>
      <c r="Q189" s="130">
        <v>45170</v>
      </c>
      <c r="R189" s="130">
        <f t="shared" si="23"/>
        <v>134135</v>
      </c>
      <c r="S189" s="133">
        <f t="shared" si="26"/>
        <v>157.87088801271111</v>
      </c>
      <c r="T189" s="159">
        <v>92.683869720692002</v>
      </c>
      <c r="U189" s="133">
        <v>99.894119777156931</v>
      </c>
      <c r="V189" s="133">
        <v>98.257393014339399</v>
      </c>
      <c r="W189" s="113">
        <v>41505</v>
      </c>
      <c r="X189" s="134">
        <v>1.2</v>
      </c>
      <c r="Y189" s="135">
        <f>1.3*18/31+1.2*13/31</f>
        <v>1.2580645161290323</v>
      </c>
      <c r="Z189" s="137">
        <f t="shared" si="27"/>
        <v>75.728155339805838</v>
      </c>
    </row>
    <row r="190" spans="2:26" ht="12" hidden="1" customHeight="1">
      <c r="B190" s="103" t="s">
        <v>224</v>
      </c>
      <c r="C190" s="270" t="s">
        <v>224</v>
      </c>
      <c r="D190" s="424">
        <v>92.882562277580064</v>
      </c>
      <c r="E190" s="420">
        <v>97.45347698334966</v>
      </c>
      <c r="F190" s="420">
        <v>97.287522603978289</v>
      </c>
      <c r="G190" s="130">
        <v>306664</v>
      </c>
      <c r="H190" s="129">
        <v>163.1</v>
      </c>
      <c r="I190" s="130">
        <f t="shared" si="20"/>
        <v>1880.2207234825262</v>
      </c>
      <c r="J190" s="130">
        <f t="shared" si="28"/>
        <v>2283.2985185723273</v>
      </c>
      <c r="K190" s="133">
        <f t="shared" si="24"/>
        <v>99.908640471542697</v>
      </c>
      <c r="L190" s="130">
        <f t="shared" si="30"/>
        <v>8634.346296028205</v>
      </c>
      <c r="M190" s="130">
        <f t="shared" si="30"/>
        <v>6530.0440746772701</v>
      </c>
      <c r="N190" s="130">
        <f t="shared" si="22"/>
        <v>7901.0139075905472</v>
      </c>
      <c r="O190" s="132">
        <f t="shared" si="25"/>
        <v>99.090929000408991</v>
      </c>
      <c r="P190" s="130">
        <v>224000</v>
      </c>
      <c r="Q190" s="130">
        <v>38220</v>
      </c>
      <c r="R190" s="130">
        <f t="shared" si="23"/>
        <v>131110</v>
      </c>
      <c r="S190" s="133">
        <f t="shared" si="26"/>
        <v>154.31059848172777</v>
      </c>
      <c r="T190" s="159">
        <v>92.490576978834454</v>
      </c>
      <c r="U190" s="133">
        <v>99.908640471542697</v>
      </c>
      <c r="V190" s="133">
        <v>98.224740058697918</v>
      </c>
      <c r="W190" s="113">
        <v>41536</v>
      </c>
      <c r="X190" s="134">
        <v>1.2</v>
      </c>
      <c r="Y190" s="135">
        <f>1.2*18/30+1.2*12/30</f>
        <v>1.2</v>
      </c>
      <c r="Z190" s="137">
        <f t="shared" si="27"/>
        <v>72.233009708737868</v>
      </c>
    </row>
    <row r="191" spans="2:26" ht="12" hidden="1" customHeight="1">
      <c r="B191" s="103" t="s">
        <v>225</v>
      </c>
      <c r="C191" s="270" t="s">
        <v>225</v>
      </c>
      <c r="D191" s="424">
        <v>92.882562277580064</v>
      </c>
      <c r="E191" s="420">
        <v>97.45347698334966</v>
      </c>
      <c r="F191" s="420">
        <v>96.745027124773955</v>
      </c>
      <c r="G191" s="130">
        <v>308969</v>
      </c>
      <c r="H191" s="129">
        <v>165.4</v>
      </c>
      <c r="I191" s="130">
        <f t="shared" si="20"/>
        <v>1868.0108827085851</v>
      </c>
      <c r="J191" s="130">
        <f t="shared" si="28"/>
        <v>2284.5658089598551</v>
      </c>
      <c r="K191" s="133">
        <f t="shared" si="24"/>
        <v>99.9640923796794</v>
      </c>
      <c r="L191" s="130">
        <f t="shared" ref="L191:M212" si="31">AVERAGE(L155:L190)</f>
        <v>8634.3093862646401</v>
      </c>
      <c r="M191" s="130">
        <f t="shared" si="31"/>
        <v>6530.0419653067474</v>
      </c>
      <c r="N191" s="130">
        <f t="shared" si="22"/>
        <v>7900.9891254838785</v>
      </c>
      <c r="O191" s="132">
        <f t="shared" si="25"/>
        <v>99.09061819447939</v>
      </c>
      <c r="P191" s="130">
        <v>214800</v>
      </c>
      <c r="Q191" s="130">
        <v>35240</v>
      </c>
      <c r="R191" s="130">
        <f t="shared" si="23"/>
        <v>125020</v>
      </c>
      <c r="S191" s="133">
        <f t="shared" si="26"/>
        <v>147.14294121108691</v>
      </c>
      <c r="T191" s="159">
        <v>92.20063786604814</v>
      </c>
      <c r="U191" s="133">
        <v>99.9640923796794</v>
      </c>
      <c r="V191" s="133">
        <v>98.201788205085109</v>
      </c>
      <c r="W191" s="113">
        <v>41568</v>
      </c>
      <c r="X191" s="134">
        <v>1</v>
      </c>
      <c r="Y191" s="135">
        <f>1.2*20/31+1*11/31</f>
        <v>1.129032258064516</v>
      </c>
      <c r="Z191" s="137">
        <f t="shared" si="27"/>
        <v>67.961165048543691</v>
      </c>
    </row>
    <row r="192" spans="2:26" ht="12" hidden="1" customHeight="1">
      <c r="B192" s="103" t="s">
        <v>226</v>
      </c>
      <c r="C192" s="270" t="s">
        <v>226</v>
      </c>
      <c r="D192" s="424">
        <v>94.217081850533802</v>
      </c>
      <c r="E192" s="420">
        <v>97.45347698334966</v>
      </c>
      <c r="F192" s="420">
        <v>97.016274864376115</v>
      </c>
      <c r="G192" s="130">
        <v>323195</v>
      </c>
      <c r="H192" s="129">
        <v>171.4</v>
      </c>
      <c r="I192" s="130">
        <f t="shared" si="20"/>
        <v>1885.6184364060675</v>
      </c>
      <c r="J192" s="130">
        <f t="shared" si="28"/>
        <v>2286.6023531151895</v>
      </c>
      <c r="K192" s="133">
        <f t="shared" si="24"/>
        <v>100.0532039680962</v>
      </c>
      <c r="L192" s="130">
        <f t="shared" si="31"/>
        <v>8634.2799011000934</v>
      </c>
      <c r="M192" s="130">
        <f t="shared" si="31"/>
        <v>6530.0357451625532</v>
      </c>
      <c r="N192" s="130">
        <f t="shared" si="22"/>
        <v>7900.9677479916845</v>
      </c>
      <c r="O192" s="132">
        <f t="shared" si="25"/>
        <v>99.090350087678672</v>
      </c>
      <c r="P192" s="130">
        <v>215500</v>
      </c>
      <c r="Q192" s="130">
        <v>36300</v>
      </c>
      <c r="R192" s="130">
        <f t="shared" si="23"/>
        <v>125900</v>
      </c>
      <c r="S192" s="133">
        <f t="shared" si="26"/>
        <v>148.17866180191842</v>
      </c>
      <c r="T192" s="159">
        <v>94.230211655552338</v>
      </c>
      <c r="U192" s="133">
        <v>100.0532039680962</v>
      </c>
      <c r="V192" s="133">
        <v>98.731384713148728</v>
      </c>
      <c r="W192" s="113">
        <v>41599</v>
      </c>
      <c r="X192" s="134">
        <v>1</v>
      </c>
      <c r="Y192" s="135">
        <v>1</v>
      </c>
      <c r="Z192" s="137">
        <f t="shared" si="27"/>
        <v>60.194174757281559</v>
      </c>
    </row>
    <row r="193" spans="2:26" ht="12" hidden="1" customHeight="1">
      <c r="B193" s="105" t="s">
        <v>227</v>
      </c>
      <c r="C193" s="271" t="s">
        <v>227</v>
      </c>
      <c r="D193" s="425">
        <v>95.373665480427036</v>
      </c>
      <c r="E193" s="426">
        <v>97.45347698334966</v>
      </c>
      <c r="F193" s="426">
        <v>97.287522603978289</v>
      </c>
      <c r="G193" s="150">
        <v>691612</v>
      </c>
      <c r="H193" s="149">
        <v>166.1</v>
      </c>
      <c r="I193" s="150">
        <f t="shared" si="20"/>
        <v>4163.8290186634558</v>
      </c>
      <c r="J193" s="150">
        <f t="shared" si="28"/>
        <v>2287.265353347726</v>
      </c>
      <c r="K193" s="152">
        <f t="shared" si="24"/>
        <v>100.08221438934699</v>
      </c>
      <c r="L193" s="150">
        <f t="shared" si="31"/>
        <v>8634.2588950482677</v>
      </c>
      <c r="M193" s="150">
        <f t="shared" si="31"/>
        <v>6530.0256776448623</v>
      </c>
      <c r="N193" s="150">
        <f t="shared" si="22"/>
        <v>7900.9505539309703</v>
      </c>
      <c r="O193" s="153">
        <f t="shared" si="25"/>
        <v>99.090134447576091</v>
      </c>
      <c r="P193" s="150">
        <v>227600</v>
      </c>
      <c r="Q193" s="150">
        <v>40990</v>
      </c>
      <c r="R193" s="150">
        <f t="shared" si="23"/>
        <v>134295</v>
      </c>
      <c r="S193" s="152">
        <f t="shared" si="26"/>
        <v>158.05920084740777</v>
      </c>
      <c r="T193" s="384">
        <v>94.906736252053747</v>
      </c>
      <c r="U193" s="152">
        <v>100.08221438934699</v>
      </c>
      <c r="V193" s="152">
        <v>98.907380852181419</v>
      </c>
      <c r="W193" s="115">
        <v>41993</v>
      </c>
      <c r="X193" s="155">
        <v>1</v>
      </c>
      <c r="Y193" s="156">
        <v>1</v>
      </c>
      <c r="Z193" s="157">
        <f t="shared" si="27"/>
        <v>60.194174757281559</v>
      </c>
    </row>
    <row r="194" spans="2:26" customFormat="1" ht="12" hidden="1" customHeight="1">
      <c r="B194" s="104" t="s">
        <v>351</v>
      </c>
      <c r="C194" s="272" t="s">
        <v>352</v>
      </c>
      <c r="D194" s="421">
        <v>96.441281138790032</v>
      </c>
      <c r="E194" s="420">
        <v>97.45347698334966</v>
      </c>
      <c r="F194" s="420">
        <v>97.287522603978289</v>
      </c>
      <c r="G194" s="130">
        <v>313342</v>
      </c>
      <c r="H194" s="129">
        <v>148.9</v>
      </c>
      <c r="I194" s="140">
        <f>G194/H194</f>
        <v>2104.3787777031562</v>
      </c>
      <c r="J194" s="140">
        <f>AVERAGE(I183:I194)</f>
        <v>2283.5235243015741</v>
      </c>
      <c r="K194" s="142">
        <f t="shared" si="24"/>
        <v>99.918485884363008</v>
      </c>
      <c r="L194" s="140">
        <f t="shared" si="31"/>
        <v>8634.2454134746968</v>
      </c>
      <c r="M194" s="140">
        <f t="shared" si="31"/>
        <v>6530.0129792135676</v>
      </c>
      <c r="N194" s="140">
        <f t="shared" si="22"/>
        <v>7900.9373452761802</v>
      </c>
      <c r="O194" s="143">
        <f t="shared" si="25"/>
        <v>99.089968790625065</v>
      </c>
      <c r="P194" s="140">
        <v>224700</v>
      </c>
      <c r="Q194" s="140">
        <v>42220</v>
      </c>
      <c r="R194" s="140">
        <f t="shared" si="23"/>
        <v>133460</v>
      </c>
      <c r="S194" s="142">
        <f t="shared" si="26"/>
        <v>157.07644324133469</v>
      </c>
      <c r="T194" s="385">
        <v>97.999420121774435</v>
      </c>
      <c r="U194" s="142">
        <v>99.918485884363008</v>
      </c>
      <c r="V194" s="142">
        <v>99.482857956255387</v>
      </c>
      <c r="W194" s="289">
        <v>41662</v>
      </c>
      <c r="X194" s="145">
        <v>1</v>
      </c>
      <c r="Y194" s="146">
        <v>1</v>
      </c>
      <c r="Z194" s="147">
        <f t="shared" si="27"/>
        <v>60.194174757281559</v>
      </c>
    </row>
    <row r="195" spans="2:26" customFormat="1" ht="12" hidden="1" customHeight="1">
      <c r="B195" s="265" t="s">
        <v>353</v>
      </c>
      <c r="C195" s="270" t="s">
        <v>353</v>
      </c>
      <c r="D195" s="421">
        <v>96.975088967971516</v>
      </c>
      <c r="E195" s="420">
        <v>97.551420176297754</v>
      </c>
      <c r="F195" s="420">
        <v>97.287522603978289</v>
      </c>
      <c r="G195" s="130">
        <v>307114</v>
      </c>
      <c r="H195" s="129">
        <v>165.2</v>
      </c>
      <c r="I195" s="130">
        <f t="shared" si="20"/>
        <v>1859.0435835351091</v>
      </c>
      <c r="J195" s="130">
        <f t="shared" si="28"/>
        <v>2284.0373883947818</v>
      </c>
      <c r="K195" s="133">
        <f t="shared" si="24"/>
        <v>99.940970663519977</v>
      </c>
      <c r="L195" s="130">
        <f t="shared" si="31"/>
        <v>8634.2433101972456</v>
      </c>
      <c r="M195" s="130">
        <f t="shared" si="31"/>
        <v>6529.9991265071512</v>
      </c>
      <c r="N195" s="130">
        <f t="shared" si="22"/>
        <v>7900.9311474172955</v>
      </c>
      <c r="O195" s="132">
        <f t="shared" si="25"/>
        <v>99.089891059893048</v>
      </c>
      <c r="P195" s="130">
        <v>217200</v>
      </c>
      <c r="Q195" s="130">
        <v>48600</v>
      </c>
      <c r="R195" s="130">
        <f t="shared" si="23"/>
        <v>132900</v>
      </c>
      <c r="S195" s="133">
        <f t="shared" si="26"/>
        <v>156.41734831989643</v>
      </c>
      <c r="T195" s="162">
        <v>95.873199961341456</v>
      </c>
      <c r="U195" s="133">
        <v>99.940970663519977</v>
      </c>
      <c r="V195" s="133">
        <v>99.017586714125443</v>
      </c>
      <c r="W195" s="113">
        <v>41690</v>
      </c>
      <c r="X195" s="134">
        <v>0.9</v>
      </c>
      <c r="Y195" s="135">
        <f>1*19/28+0.9*9/28</f>
        <v>0.96785714285714286</v>
      </c>
      <c r="Z195" s="137">
        <f t="shared" si="27"/>
        <v>58.25936199722608</v>
      </c>
    </row>
    <row r="196" spans="2:26" customFormat="1" ht="12" hidden="1" customHeight="1">
      <c r="B196" s="265" t="s">
        <v>168</v>
      </c>
      <c r="C196" s="270" t="s">
        <v>168</v>
      </c>
      <c r="D196" s="421">
        <v>97.686832740213518</v>
      </c>
      <c r="E196" s="420">
        <v>97.551420176297754</v>
      </c>
      <c r="F196" s="420">
        <v>97.377938517179018</v>
      </c>
      <c r="G196" s="130">
        <v>319383</v>
      </c>
      <c r="H196" s="129">
        <v>162.9</v>
      </c>
      <c r="I196" s="130">
        <f t="shared" si="20"/>
        <v>1960.6077348066299</v>
      </c>
      <c r="J196" s="130">
        <f t="shared" si="28"/>
        <v>2285.2538657741748</v>
      </c>
      <c r="K196" s="133">
        <f t="shared" si="24"/>
        <v>99.994199183641612</v>
      </c>
      <c r="L196" s="130">
        <f t="shared" si="31"/>
        <v>8634.2503980099846</v>
      </c>
      <c r="M196" s="130">
        <f t="shared" si="31"/>
        <v>6529.985510756891</v>
      </c>
      <c r="N196" s="130">
        <f t="shared" si="22"/>
        <v>7900.9310202049537</v>
      </c>
      <c r="O196" s="132">
        <f t="shared" si="25"/>
        <v>99.08988946445362</v>
      </c>
      <c r="P196" s="130">
        <v>214200</v>
      </c>
      <c r="Q196" s="130">
        <v>53980</v>
      </c>
      <c r="R196" s="130">
        <f t="shared" si="23"/>
        <v>134090</v>
      </c>
      <c r="S196" s="133">
        <f t="shared" si="26"/>
        <v>157.8179250279527</v>
      </c>
      <c r="T196" s="159">
        <v>96.743017299700398</v>
      </c>
      <c r="U196" s="133">
        <v>99.994199183641612</v>
      </c>
      <c r="V196" s="133">
        <v>99.256180895986944</v>
      </c>
      <c r="W196" s="113">
        <v>41717</v>
      </c>
      <c r="X196" s="134">
        <v>1</v>
      </c>
      <c r="Y196" s="135">
        <f>0.9*18/31+1*13/31</f>
        <v>0.9419354838709677</v>
      </c>
      <c r="Z196" s="137">
        <f t="shared" si="27"/>
        <v>56.699029126213595</v>
      </c>
    </row>
    <row r="197" spans="2:26" customFormat="1" ht="12" hidden="1" customHeight="1">
      <c r="B197" s="265" t="s">
        <v>354</v>
      </c>
      <c r="C197" s="270" t="s">
        <v>354</v>
      </c>
      <c r="D197" s="421">
        <v>100.17793594306049</v>
      </c>
      <c r="E197" s="420">
        <v>100.19588638589619</v>
      </c>
      <c r="F197" s="420">
        <v>100.27124773960216</v>
      </c>
      <c r="G197" s="130">
        <v>318495</v>
      </c>
      <c r="H197" s="129">
        <v>167</v>
      </c>
      <c r="I197" s="130">
        <f t="shared" si="20"/>
        <v>1907.1556886227545</v>
      </c>
      <c r="J197" s="130">
        <f t="shared" si="28"/>
        <v>2289.179039548128</v>
      </c>
      <c r="K197" s="133">
        <f t="shared" si="24"/>
        <v>100.16595017116271</v>
      </c>
      <c r="L197" s="130">
        <f t="shared" si="31"/>
        <v>8634.2638092758698</v>
      </c>
      <c r="M197" s="130">
        <f t="shared" si="31"/>
        <v>6529.9734486285342</v>
      </c>
      <c r="N197" s="130">
        <f t="shared" si="22"/>
        <v>7900.9355541979594</v>
      </c>
      <c r="O197" s="132">
        <f t="shared" si="25"/>
        <v>99.089946327735248</v>
      </c>
      <c r="P197" s="130">
        <v>214200</v>
      </c>
      <c r="Q197" s="130">
        <v>57320</v>
      </c>
      <c r="R197" s="130">
        <f t="shared" si="23"/>
        <v>135760</v>
      </c>
      <c r="S197" s="133">
        <f t="shared" si="26"/>
        <v>159.78344024009888</v>
      </c>
      <c r="T197" s="162">
        <v>97.709481008988107</v>
      </c>
      <c r="U197" s="133">
        <v>100.16595017116271</v>
      </c>
      <c r="V197" s="133">
        <v>99.608331671349077</v>
      </c>
      <c r="W197" s="113">
        <v>41747</v>
      </c>
      <c r="X197" s="134">
        <v>1</v>
      </c>
      <c r="Y197" s="135">
        <v>1</v>
      </c>
      <c r="Z197" s="137">
        <f t="shared" si="27"/>
        <v>60.194174757281559</v>
      </c>
    </row>
    <row r="198" spans="2:26" customFormat="1" ht="12" hidden="1" customHeight="1">
      <c r="B198" s="265" t="s">
        <v>160</v>
      </c>
      <c r="C198" s="270" t="s">
        <v>160</v>
      </c>
      <c r="D198" s="421">
        <v>99.911032028469734</v>
      </c>
      <c r="E198" s="420">
        <v>100.19588638589619</v>
      </c>
      <c r="F198" s="420">
        <v>100.4520795660036</v>
      </c>
      <c r="G198" s="130">
        <v>311211</v>
      </c>
      <c r="H198" s="129">
        <v>156</v>
      </c>
      <c r="I198" s="130">
        <f t="shared" si="20"/>
        <v>1994.9423076923076</v>
      </c>
      <c r="J198" s="130">
        <f t="shared" si="28"/>
        <v>2291.727623141504</v>
      </c>
      <c r="K198" s="133">
        <f t="shared" si="24"/>
        <v>100.27746669862117</v>
      </c>
      <c r="L198" s="130">
        <f t="shared" si="31"/>
        <v>8634.2792372264776</v>
      </c>
      <c r="M198" s="130">
        <f t="shared" si="31"/>
        <v>6529.965651672781</v>
      </c>
      <c r="N198" s="130">
        <f t="shared" si="22"/>
        <v>7900.9428884556164</v>
      </c>
      <c r="O198" s="132">
        <f t="shared" si="25"/>
        <v>99.090038310664681</v>
      </c>
      <c r="P198" s="130">
        <v>237400</v>
      </c>
      <c r="Q198" s="130">
        <v>57550</v>
      </c>
      <c r="R198" s="130">
        <f t="shared" si="23"/>
        <v>147475</v>
      </c>
      <c r="S198" s="133">
        <f t="shared" si="26"/>
        <v>173.57147060554345</v>
      </c>
      <c r="T198" s="159">
        <v>97.709481008988107</v>
      </c>
      <c r="U198" s="133">
        <v>100.27746669862117</v>
      </c>
      <c r="V198" s="133">
        <v>99.694533947074447</v>
      </c>
      <c r="W198" s="113">
        <v>41782</v>
      </c>
      <c r="X198" s="134">
        <v>1</v>
      </c>
      <c r="Y198" s="135">
        <v>1</v>
      </c>
      <c r="Z198" s="137">
        <f t="shared" si="27"/>
        <v>60.194174757281559</v>
      </c>
    </row>
    <row r="199" spans="2:26" customFormat="1" ht="12" hidden="1" customHeight="1">
      <c r="B199" s="265" t="s">
        <v>161</v>
      </c>
      <c r="C199" s="270" t="s">
        <v>161</v>
      </c>
      <c r="D199" s="421">
        <v>99.822064056939496</v>
      </c>
      <c r="E199" s="420">
        <v>100.29382957884428</v>
      </c>
      <c r="F199" s="420">
        <v>100.4520795660036</v>
      </c>
      <c r="G199" s="130">
        <v>505333</v>
      </c>
      <c r="H199" s="129">
        <v>168.9</v>
      </c>
      <c r="I199" s="130">
        <f t="shared" si="20"/>
        <v>2991.9064535227944</v>
      </c>
      <c r="J199" s="130">
        <f t="shared" si="28"/>
        <v>2298.8914545858643</v>
      </c>
      <c r="K199" s="133">
        <f t="shared" si="24"/>
        <v>100.59092928546718</v>
      </c>
      <c r="L199" s="130">
        <f t="shared" si="31"/>
        <v>8634.2895582946621</v>
      </c>
      <c r="M199" s="130">
        <f t="shared" si="31"/>
        <v>6529.9627386998945</v>
      </c>
      <c r="N199" s="130">
        <f t="shared" si="22"/>
        <v>7900.9485975669977</v>
      </c>
      <c r="O199" s="132">
        <f t="shared" si="25"/>
        <v>99.090109911747419</v>
      </c>
      <c r="P199" s="130">
        <v>218300</v>
      </c>
      <c r="Q199" s="130">
        <v>59520</v>
      </c>
      <c r="R199" s="130">
        <f t="shared" si="23"/>
        <v>138910</v>
      </c>
      <c r="S199" s="133">
        <f t="shared" si="26"/>
        <v>163.49084917318896</v>
      </c>
      <c r="T199" s="159">
        <v>99.062530201990924</v>
      </c>
      <c r="U199" s="133">
        <v>100.59092928546718</v>
      </c>
      <c r="V199" s="133">
        <v>100.24398269351806</v>
      </c>
      <c r="W199" s="113">
        <v>41808</v>
      </c>
      <c r="X199" s="134">
        <v>1</v>
      </c>
      <c r="Y199" s="135">
        <v>1</v>
      </c>
      <c r="Z199" s="137">
        <f t="shared" si="27"/>
        <v>60.194174757281559</v>
      </c>
    </row>
    <row r="200" spans="2:26" customFormat="1" ht="12" hidden="1" customHeight="1">
      <c r="B200" s="265" t="s">
        <v>355</v>
      </c>
      <c r="C200" s="270" t="s">
        <v>355</v>
      </c>
      <c r="D200" s="421">
        <v>99.199288256227746</v>
      </c>
      <c r="E200" s="420">
        <v>100.19588638589619</v>
      </c>
      <c r="F200" s="420">
        <v>100.81374321880651</v>
      </c>
      <c r="G200" s="130">
        <v>524744</v>
      </c>
      <c r="H200" s="129">
        <v>170.7</v>
      </c>
      <c r="I200" s="130">
        <f t="shared" si="20"/>
        <v>3074.0714704159345</v>
      </c>
      <c r="J200" s="130">
        <f t="shared" si="28"/>
        <v>2307.8433429935412</v>
      </c>
      <c r="K200" s="133">
        <f t="shared" si="24"/>
        <v>100.98263058654067</v>
      </c>
      <c r="L200" s="130">
        <f t="shared" si="31"/>
        <v>8634.2943168483926</v>
      </c>
      <c r="M200" s="130">
        <f t="shared" si="31"/>
        <v>6529.9647269519301</v>
      </c>
      <c r="N200" s="130">
        <f t="shared" si="22"/>
        <v>7900.9523906928835</v>
      </c>
      <c r="O200" s="132">
        <f t="shared" si="25"/>
        <v>99.090157483410039</v>
      </c>
      <c r="P200" s="130">
        <v>229200</v>
      </c>
      <c r="Q200" s="130">
        <v>52480</v>
      </c>
      <c r="R200" s="130">
        <f t="shared" si="23"/>
        <v>140840</v>
      </c>
      <c r="S200" s="133">
        <f t="shared" si="26"/>
        <v>165.76237274171717</v>
      </c>
      <c r="T200" s="159">
        <v>99.062530201990924</v>
      </c>
      <c r="U200" s="133">
        <v>100.98263058654067</v>
      </c>
      <c r="V200" s="133">
        <v>100.54676779924786</v>
      </c>
      <c r="W200" s="113">
        <v>41838</v>
      </c>
      <c r="X200" s="134">
        <v>0.9</v>
      </c>
      <c r="Y200" s="135">
        <f>1*17/31+0.9*14/31</f>
        <v>0.95483870967741935</v>
      </c>
      <c r="Z200" s="137">
        <f t="shared" si="27"/>
        <v>57.475728155339809</v>
      </c>
    </row>
    <row r="201" spans="2:26" customFormat="1" ht="12" hidden="1" customHeight="1">
      <c r="B201" s="265" t="s">
        <v>356</v>
      </c>
      <c r="C201" s="270" t="s">
        <v>356</v>
      </c>
      <c r="D201" s="421">
        <v>99.199288256227746</v>
      </c>
      <c r="E201" s="420">
        <v>100.19588638589619</v>
      </c>
      <c r="F201" s="420">
        <v>100.72332730560578</v>
      </c>
      <c r="G201" s="130">
        <v>324249</v>
      </c>
      <c r="H201" s="129">
        <v>154.5</v>
      </c>
      <c r="I201" s="130">
        <f t="shared" si="20"/>
        <v>2098.6990291262136</v>
      </c>
      <c r="J201" s="130">
        <f t="shared" si="28"/>
        <v>2315.7070088904616</v>
      </c>
      <c r="K201" s="133">
        <f t="shared" si="24"/>
        <v>101.3267153229399</v>
      </c>
      <c r="L201" s="130">
        <f t="shared" si="31"/>
        <v>8634.2935672752192</v>
      </c>
      <c r="M201" s="130">
        <f t="shared" si="31"/>
        <v>6529.9690301852133</v>
      </c>
      <c r="N201" s="130">
        <f t="shared" si="22"/>
        <v>7900.953401982094</v>
      </c>
      <c r="O201" s="132">
        <f t="shared" si="25"/>
        <v>99.090170166540133</v>
      </c>
      <c r="P201" s="130">
        <v>231100</v>
      </c>
      <c r="Q201" s="130">
        <v>40770</v>
      </c>
      <c r="R201" s="130">
        <f t="shared" si="23"/>
        <v>135935</v>
      </c>
      <c r="S201" s="133">
        <f t="shared" si="26"/>
        <v>159.98940740304832</v>
      </c>
      <c r="T201" s="159">
        <v>99.159176572919691</v>
      </c>
      <c r="U201" s="133">
        <v>101.3267153229399</v>
      </c>
      <c r="V201" s="133">
        <v>100.83468402668532</v>
      </c>
      <c r="W201" s="113">
        <v>41871</v>
      </c>
      <c r="X201" s="134">
        <v>0.9</v>
      </c>
      <c r="Y201" s="135">
        <v>0.9</v>
      </c>
      <c r="Z201" s="137">
        <f t="shared" si="27"/>
        <v>54.174757281553411</v>
      </c>
    </row>
    <row r="202" spans="2:26" s="313" customFormat="1" ht="12" hidden="1" customHeight="1">
      <c r="B202" s="265" t="s">
        <v>164</v>
      </c>
      <c r="C202" s="270" t="s">
        <v>164</v>
      </c>
      <c r="D202" s="421">
        <v>99.199288256227746</v>
      </c>
      <c r="E202" s="420">
        <v>100.09794319294811</v>
      </c>
      <c r="F202" s="420">
        <v>100.81374321880651</v>
      </c>
      <c r="G202" s="130">
        <v>312677</v>
      </c>
      <c r="H202" s="129">
        <v>163.5</v>
      </c>
      <c r="I202" s="130">
        <f t="shared" si="20"/>
        <v>1912.3975535168195</v>
      </c>
      <c r="J202" s="130">
        <f t="shared" si="28"/>
        <v>2318.3884113933195</v>
      </c>
      <c r="K202" s="133">
        <f t="shared" si="24"/>
        <v>101.4440435112773</v>
      </c>
      <c r="L202" s="130">
        <f t="shared" si="31"/>
        <v>8634.2858812494651</v>
      </c>
      <c r="M202" s="130">
        <f t="shared" si="31"/>
        <v>6529.9713563184405</v>
      </c>
      <c r="N202" s="130">
        <f t="shared" si="22"/>
        <v>7900.9492051131647</v>
      </c>
      <c r="O202" s="132">
        <f t="shared" si="25"/>
        <v>99.090117531315599</v>
      </c>
      <c r="P202" s="130">
        <v>237700</v>
      </c>
      <c r="Q202" s="130">
        <v>35150</v>
      </c>
      <c r="R202" s="130">
        <f t="shared" si="23"/>
        <v>136425</v>
      </c>
      <c r="S202" s="133">
        <f t="shared" si="26"/>
        <v>160.56611545930676</v>
      </c>
      <c r="T202" s="159">
        <v>99.352469314777238</v>
      </c>
      <c r="U202" s="133">
        <v>101.4440435112773</v>
      </c>
      <c r="V202" s="133">
        <v>100.96925616867178</v>
      </c>
      <c r="W202" s="113">
        <v>41901</v>
      </c>
      <c r="X202" s="134">
        <v>0.9</v>
      </c>
      <c r="Y202" s="312">
        <v>0.9</v>
      </c>
      <c r="Z202" s="163">
        <f t="shared" si="27"/>
        <v>54.174757281553411</v>
      </c>
    </row>
    <row r="203" spans="2:26" customFormat="1" ht="12" hidden="1" customHeight="1">
      <c r="B203" s="265" t="s">
        <v>165</v>
      </c>
      <c r="C203" s="270" t="s">
        <v>165</v>
      </c>
      <c r="D203" s="421">
        <v>99.288256227757998</v>
      </c>
      <c r="E203" s="420">
        <v>100</v>
      </c>
      <c r="F203" s="420">
        <v>100.27124773960216</v>
      </c>
      <c r="G203" s="130">
        <v>313055</v>
      </c>
      <c r="H203" s="129">
        <v>167.9</v>
      </c>
      <c r="I203" s="130">
        <f t="shared" si="20"/>
        <v>1864.5324597974984</v>
      </c>
      <c r="J203" s="130">
        <f t="shared" si="28"/>
        <v>2318.0985428173954</v>
      </c>
      <c r="K203" s="133">
        <f t="shared" si="24"/>
        <v>101.43135994182704</v>
      </c>
      <c r="L203" s="130">
        <f t="shared" si="31"/>
        <v>8634.2778475559153</v>
      </c>
      <c r="M203" s="130">
        <f t="shared" si="31"/>
        <v>6529.9697937649498</v>
      </c>
      <c r="N203" s="130">
        <f t="shared" si="22"/>
        <v>7900.9434265598466</v>
      </c>
      <c r="O203" s="132">
        <f t="shared" si="25"/>
        <v>99.090045059323614</v>
      </c>
      <c r="P203" s="130">
        <v>244600</v>
      </c>
      <c r="Q203" s="130">
        <v>31610</v>
      </c>
      <c r="R203" s="130">
        <f t="shared" si="23"/>
        <v>138105</v>
      </c>
      <c r="S203" s="133">
        <f t="shared" si="26"/>
        <v>162.54340022362149</v>
      </c>
      <c r="T203" s="159">
        <v>99.255822943848472</v>
      </c>
      <c r="U203" s="133">
        <v>101.43135994182704</v>
      </c>
      <c r="V203" s="133">
        <v>100.9375130432859</v>
      </c>
      <c r="W203" s="113">
        <v>41933</v>
      </c>
      <c r="X203" s="134">
        <v>0.9</v>
      </c>
      <c r="Y203" s="312">
        <v>0.86666666666666703</v>
      </c>
      <c r="Z203" s="163">
        <f t="shared" si="27"/>
        <v>52.168284789644034</v>
      </c>
    </row>
    <row r="204" spans="2:26" customFormat="1" ht="12" hidden="1" customHeight="1">
      <c r="B204" s="265" t="s">
        <v>166</v>
      </c>
      <c r="C204" s="270" t="s">
        <v>166</v>
      </c>
      <c r="D204" s="421">
        <v>99.37722419928825</v>
      </c>
      <c r="E204" s="420">
        <v>100.09794319294811</v>
      </c>
      <c r="F204" s="420">
        <v>100.09041591320072</v>
      </c>
      <c r="G204" s="130">
        <v>327866</v>
      </c>
      <c r="H204" s="314">
        <v>168.6</v>
      </c>
      <c r="I204" s="315">
        <f t="shared" si="20"/>
        <v>1944.6381969157771</v>
      </c>
      <c r="J204" s="315">
        <f t="shared" si="28"/>
        <v>2323.0168561932046</v>
      </c>
      <c r="K204" s="316">
        <f t="shared" si="24"/>
        <v>101.64656702000502</v>
      </c>
      <c r="L204" s="315">
        <f t="shared" si="31"/>
        <v>8634.2762557163005</v>
      </c>
      <c r="M204" s="315">
        <f t="shared" si="31"/>
        <v>6529.9650626592102</v>
      </c>
      <c r="N204" s="315">
        <f t="shared" si="22"/>
        <v>7900.9407407112521</v>
      </c>
      <c r="O204" s="386">
        <f t="shared" si="25"/>
        <v>99.090011374630052</v>
      </c>
      <c r="P204" s="315">
        <v>232600</v>
      </c>
      <c r="Q204" s="315">
        <v>32690</v>
      </c>
      <c r="R204" s="315">
        <f t="shared" si="23"/>
        <v>132645</v>
      </c>
      <c r="S204" s="316">
        <f t="shared" si="26"/>
        <v>156.11722473959867</v>
      </c>
      <c r="T204" s="159">
        <v>99.835701169421085</v>
      </c>
      <c r="U204" s="316">
        <v>101.64656702000502</v>
      </c>
      <c r="V204" s="133">
        <v>101.23550047192246</v>
      </c>
      <c r="W204" s="113">
        <v>41963</v>
      </c>
      <c r="X204" s="134">
        <v>0.8</v>
      </c>
      <c r="Y204" s="135">
        <v>0.8666666666666667</v>
      </c>
      <c r="Z204" s="137">
        <v>52.168284789644012</v>
      </c>
    </row>
    <row r="205" spans="2:26" customFormat="1" ht="12" hidden="1" customHeight="1">
      <c r="B205" s="321" t="s">
        <v>167</v>
      </c>
      <c r="C205" s="270" t="s">
        <v>167</v>
      </c>
      <c r="D205" s="419">
        <v>99.555160142348754</v>
      </c>
      <c r="E205" s="420">
        <v>100.09794319294811</v>
      </c>
      <c r="F205" s="420">
        <v>99.999999999999986</v>
      </c>
      <c r="G205" s="130">
        <v>707742</v>
      </c>
      <c r="H205" s="129">
        <v>164.2</v>
      </c>
      <c r="I205" s="130">
        <f t="shared" si="20"/>
        <v>4310.2436053593183</v>
      </c>
      <c r="J205" s="130">
        <f t="shared" si="28"/>
        <v>2335.2180717511928</v>
      </c>
      <c r="K205" s="133">
        <f t="shared" si="24"/>
        <v>102.18044677711234</v>
      </c>
      <c r="L205" s="130">
        <f t="shared" si="31"/>
        <v>8634.2817744430704</v>
      </c>
      <c r="M205" s="130">
        <f t="shared" si="31"/>
        <v>6529.9576306962881</v>
      </c>
      <c r="N205" s="130">
        <f t="shared" si="22"/>
        <v>7900.9417462268939</v>
      </c>
      <c r="O205" s="132">
        <f t="shared" si="25"/>
        <v>99.090023985350669</v>
      </c>
      <c r="P205" s="130">
        <v>238900</v>
      </c>
      <c r="Q205" s="130">
        <v>38670</v>
      </c>
      <c r="R205" s="130">
        <f t="shared" si="23"/>
        <v>138785</v>
      </c>
      <c r="S205" s="133">
        <f t="shared" si="26"/>
        <v>163.3437297710822</v>
      </c>
      <c r="T205" s="159">
        <v>99.352469314777238</v>
      </c>
      <c r="U205" s="133">
        <v>102.18044677711234</v>
      </c>
      <c r="V205" s="133">
        <v>101.53849589316228</v>
      </c>
      <c r="W205" s="113">
        <v>42356</v>
      </c>
      <c r="X205" s="134">
        <v>0.8</v>
      </c>
      <c r="Y205" s="135">
        <v>0.8</v>
      </c>
      <c r="Z205" s="137">
        <v>48.15533980582525</v>
      </c>
    </row>
    <row r="206" spans="2:26" customFormat="1" ht="12" hidden="1" customHeight="1">
      <c r="B206" s="322" t="s">
        <v>363</v>
      </c>
      <c r="C206" s="323" t="s">
        <v>362</v>
      </c>
      <c r="D206" s="472">
        <v>99.6</v>
      </c>
      <c r="E206" s="473">
        <v>100</v>
      </c>
      <c r="F206" s="473">
        <v>100.1</v>
      </c>
      <c r="G206" s="325">
        <v>308204</v>
      </c>
      <c r="H206" s="324">
        <v>148.9</v>
      </c>
      <c r="I206" s="325">
        <f t="shared" ref="I206" si="32">G206/H206</f>
        <v>2069.87239758227</v>
      </c>
      <c r="J206" s="325">
        <f t="shared" ref="J206" si="33">AVERAGE(I195:I206)</f>
        <v>2332.3425400744522</v>
      </c>
      <c r="K206" s="326">
        <f t="shared" ref="K206" si="34">J206/$J$85*100</f>
        <v>102.05462421903717</v>
      </c>
      <c r="L206" s="325">
        <f t="shared" si="31"/>
        <v>8634.292905443368</v>
      </c>
      <c r="M206" s="325">
        <f t="shared" si="31"/>
        <v>6529.9491263874224</v>
      </c>
      <c r="N206" s="325">
        <f t="shared" ref="N206" si="35">($L$13*L206+$M$13*M206)/100</f>
        <v>7900.9460344799745</v>
      </c>
      <c r="O206" s="327">
        <f t="shared" ref="O206" si="36">N206/$N$85*100</f>
        <v>99.090077766673744</v>
      </c>
      <c r="P206" s="476">
        <v>227500</v>
      </c>
      <c r="Q206" s="476">
        <v>41170</v>
      </c>
      <c r="R206" s="325">
        <f>AVERAGE(P206:Q206)</f>
        <v>134335</v>
      </c>
      <c r="S206" s="326">
        <f t="shared" ref="S206" si="37">R206/$R$85*100</f>
        <v>158.10627905608192</v>
      </c>
      <c r="T206" s="480">
        <v>99.4</v>
      </c>
      <c r="U206" s="326">
        <v>102.05462421903717</v>
      </c>
      <c r="V206" s="326">
        <v>101.45202452131572</v>
      </c>
      <c r="W206" s="328">
        <v>42026</v>
      </c>
      <c r="X206" s="329">
        <v>0.6</v>
      </c>
      <c r="Y206" s="330">
        <v>0.73548387096774204</v>
      </c>
      <c r="Z206" s="331">
        <v>44.271844660194191</v>
      </c>
    </row>
    <row r="207" spans="2:26" customFormat="1" ht="12" hidden="1" customHeight="1">
      <c r="B207" s="265" t="s">
        <v>353</v>
      </c>
      <c r="C207" s="270" t="s">
        <v>353</v>
      </c>
      <c r="D207" s="421">
        <v>99.9</v>
      </c>
      <c r="E207" s="420">
        <v>99.9</v>
      </c>
      <c r="F207" s="420">
        <v>99.9</v>
      </c>
      <c r="G207" s="130">
        <v>302593</v>
      </c>
      <c r="H207" s="129">
        <v>165.2</v>
      </c>
      <c r="I207" s="130">
        <f t="shared" ref="I207" si="38">G207/H207</f>
        <v>1831.676755447942</v>
      </c>
      <c r="J207" s="130">
        <f t="shared" ref="J207" si="39">AVERAGE(I196:I207)</f>
        <v>2330.0619710671886</v>
      </c>
      <c r="K207" s="133">
        <f t="shared" ref="K207" si="40">J207/$J$85*100</f>
        <v>101.95483501181614</v>
      </c>
      <c r="L207" s="130">
        <f t="shared" si="31"/>
        <v>8634.3128744706355</v>
      </c>
      <c r="M207" s="130">
        <f t="shared" si="31"/>
        <v>6529.9409343012376</v>
      </c>
      <c r="N207" s="130">
        <f t="shared" ref="N207" si="41">($L$13*L207+$M$13*M207)/100</f>
        <v>7900.9561895858487</v>
      </c>
      <c r="O207" s="132">
        <f t="shared" ref="O207" si="42">N207/$N$85*100</f>
        <v>99.090205127400736</v>
      </c>
      <c r="P207" s="477">
        <v>227800</v>
      </c>
      <c r="Q207" s="477">
        <v>45810</v>
      </c>
      <c r="R207" s="130">
        <f t="shared" ref="R207" si="43">AVERAGE(P207:Q207)</f>
        <v>136805</v>
      </c>
      <c r="S207" s="133">
        <f t="shared" ref="S207" si="44">R207/$R$85*100</f>
        <v>161.01335844171129</v>
      </c>
      <c r="T207" s="481">
        <v>99.4</v>
      </c>
      <c r="U207" s="133">
        <v>101.95483501181614</v>
      </c>
      <c r="V207" s="133">
        <v>101.37488746413388</v>
      </c>
      <c r="W207" s="113">
        <v>42054</v>
      </c>
      <c r="X207" s="134">
        <v>0.7</v>
      </c>
      <c r="Y207" s="135">
        <v>0.63571428571428568</v>
      </c>
      <c r="Z207" s="137">
        <v>38.26629680998613</v>
      </c>
    </row>
    <row r="208" spans="2:26" customFormat="1" ht="12" hidden="1" customHeight="1">
      <c r="B208" s="265" t="s">
        <v>168</v>
      </c>
      <c r="C208" s="270" t="s">
        <v>168</v>
      </c>
      <c r="D208" s="421">
        <v>99.9</v>
      </c>
      <c r="E208" s="420">
        <v>100</v>
      </c>
      <c r="F208" s="420">
        <v>100.1</v>
      </c>
      <c r="G208" s="130">
        <v>314255</v>
      </c>
      <c r="H208" s="129">
        <v>165.3</v>
      </c>
      <c r="I208" s="130">
        <f t="shared" ref="I208:I209" si="45">G208/H208</f>
        <v>1901.1191772534785</v>
      </c>
      <c r="J208" s="130">
        <f t="shared" ref="J208" si="46">AVERAGE(I197:I208)</f>
        <v>2325.1045912710924</v>
      </c>
      <c r="K208" s="133">
        <f t="shared" ref="K208" si="47">J208/$J$85*100</f>
        <v>101.73791853256458</v>
      </c>
      <c r="L208" s="130">
        <f t="shared" si="31"/>
        <v>8634.3390761123956</v>
      </c>
      <c r="M208" s="130">
        <f t="shared" si="31"/>
        <v>6529.9343852422999</v>
      </c>
      <c r="N208" s="130">
        <f t="shared" ref="N208" si="48">($L$13*L208+$M$13*M208)/100</f>
        <v>7900.970977871998</v>
      </c>
      <c r="O208" s="132">
        <f t="shared" ref="O208" si="49">N208/$N$85*100</f>
        <v>99.090390595371034</v>
      </c>
      <c r="P208" s="477">
        <v>236600</v>
      </c>
      <c r="Q208" s="477">
        <v>50610</v>
      </c>
      <c r="R208" s="130">
        <f t="shared" ref="R208" si="50">AVERAGE(P208:Q208)</f>
        <v>143605</v>
      </c>
      <c r="S208" s="133">
        <f t="shared" ref="S208" si="51">R208/$R$85*100</f>
        <v>169.01665391631849</v>
      </c>
      <c r="T208" s="427">
        <v>99.5</v>
      </c>
      <c r="U208" s="133">
        <v>101.73791853256458</v>
      </c>
      <c r="V208" s="133">
        <v>101.22991102567241</v>
      </c>
      <c r="W208" s="113">
        <v>42081</v>
      </c>
      <c r="X208" s="134">
        <v>0.8</v>
      </c>
      <c r="Y208" s="135">
        <v>0.74516129032258061</v>
      </c>
      <c r="Z208" s="137">
        <v>44.854368932038838</v>
      </c>
    </row>
    <row r="209" spans="2:28" customFormat="1" ht="12" hidden="1" customHeight="1">
      <c r="B209" s="265" t="s">
        <v>354</v>
      </c>
      <c r="C209" s="270" t="s">
        <v>354</v>
      </c>
      <c r="D209" s="421">
        <v>100.1</v>
      </c>
      <c r="E209" s="420">
        <v>99.9</v>
      </c>
      <c r="F209" s="420">
        <v>100</v>
      </c>
      <c r="G209" s="130">
        <v>313437</v>
      </c>
      <c r="H209" s="129">
        <v>170.8</v>
      </c>
      <c r="I209" s="130">
        <f t="shared" si="45"/>
        <v>1835.1112412177986</v>
      </c>
      <c r="J209" s="130">
        <f t="shared" ref="J209" si="52">AVERAGE(I198:I209)</f>
        <v>2319.1008873206792</v>
      </c>
      <c r="K209" s="133">
        <f t="shared" ref="K209" si="53">J209/$J$85*100</f>
        <v>101.47521880469262</v>
      </c>
      <c r="L209" s="130">
        <f t="shared" si="31"/>
        <v>8634.3681103484032</v>
      </c>
      <c r="M209" s="130">
        <f t="shared" si="31"/>
        <v>6529.9304056072451</v>
      </c>
      <c r="N209" s="130">
        <f t="shared" ref="N209" si="54">($L$13*L209+$M$13*M209)/100</f>
        <v>7900.9885070396404</v>
      </c>
      <c r="O209" s="132">
        <f t="shared" ref="O209" si="55">N209/$N$85*100</f>
        <v>99.090610438232545</v>
      </c>
      <c r="P209" s="477">
        <v>252700</v>
      </c>
      <c r="Q209" s="477">
        <v>59370</v>
      </c>
      <c r="R209" s="130">
        <f t="shared" ref="R209:R210" si="56">AVERAGE(P209:Q209)</f>
        <v>156035</v>
      </c>
      <c r="S209" s="133">
        <f t="shared" ref="S209:S210" si="57">R209/$R$85*100</f>
        <v>183.64620726181369</v>
      </c>
      <c r="T209" s="481">
        <v>99.3</v>
      </c>
      <c r="U209" s="133">
        <v>101.47521880469262</v>
      </c>
      <c r="V209" s="133">
        <v>100.98144413602739</v>
      </c>
      <c r="W209" s="113">
        <v>42114</v>
      </c>
      <c r="X209" s="134">
        <v>0.7</v>
      </c>
      <c r="Y209" s="135">
        <v>0.76333333333333342</v>
      </c>
      <c r="Z209" s="137">
        <v>45.948220064724929</v>
      </c>
    </row>
    <row r="210" spans="2:28" customFormat="1" ht="12" hidden="1" customHeight="1">
      <c r="B210" s="265" t="s">
        <v>160</v>
      </c>
      <c r="C210" s="270" t="s">
        <v>160</v>
      </c>
      <c r="D210" s="421">
        <v>100.1</v>
      </c>
      <c r="E210" s="420">
        <v>99.9</v>
      </c>
      <c r="F210" s="420">
        <v>100.2</v>
      </c>
      <c r="G210" s="130">
        <v>306430</v>
      </c>
      <c r="H210" s="129">
        <v>152.19999999999999</v>
      </c>
      <c r="I210" s="130">
        <f t="shared" ref="I210" si="58">G210/H210</f>
        <v>2013.3377135348228</v>
      </c>
      <c r="J210" s="130">
        <f t="shared" ref="J210" si="59">AVERAGE(I199:I210)</f>
        <v>2320.6338378075552</v>
      </c>
      <c r="K210" s="133">
        <f t="shared" ref="K210" si="60">J210/$J$85*100</f>
        <v>101.54229500949377</v>
      </c>
      <c r="L210" s="130">
        <f t="shared" si="31"/>
        <v>8634.3949723823553</v>
      </c>
      <c r="M210" s="130">
        <f t="shared" si="31"/>
        <v>6529.9311738544266</v>
      </c>
      <c r="N210" s="130">
        <f t="shared" ref="N210" si="61">($L$13*L210+$M$13*M210)/100</f>
        <v>7901.0062755989084</v>
      </c>
      <c r="O210" s="132">
        <f t="shared" ref="O210" si="62">N210/$N$85*100</f>
        <v>99.090833283435146</v>
      </c>
      <c r="P210" s="477">
        <v>258100</v>
      </c>
      <c r="Q210" s="477">
        <v>75050</v>
      </c>
      <c r="R210" s="130">
        <f t="shared" si="56"/>
        <v>166575</v>
      </c>
      <c r="S210" s="133">
        <f t="shared" si="57"/>
        <v>196.05131524745482</v>
      </c>
      <c r="T210" s="427">
        <v>99.3</v>
      </c>
      <c r="U210" s="133">
        <v>101.54229500949377</v>
      </c>
      <c r="V210" s="133">
        <v>101.03329404233868</v>
      </c>
      <c r="W210" s="113">
        <v>42151</v>
      </c>
      <c r="X210" s="134">
        <v>0.8</v>
      </c>
      <c r="Y210" s="135">
        <v>0.71612903225806446</v>
      </c>
      <c r="Z210" s="137">
        <v>43.106796116504853</v>
      </c>
    </row>
    <row r="211" spans="2:28" customFormat="1" ht="12" hidden="1" customHeight="1">
      <c r="B211" s="265" t="s">
        <v>161</v>
      </c>
      <c r="C211" s="270" t="s">
        <v>161</v>
      </c>
      <c r="D211" s="421">
        <v>100.1</v>
      </c>
      <c r="E211" s="420">
        <v>100</v>
      </c>
      <c r="F211" s="420">
        <v>100.4</v>
      </c>
      <c r="G211" s="130">
        <v>484714</v>
      </c>
      <c r="H211" s="129">
        <v>169.1</v>
      </c>
      <c r="I211" s="130">
        <f t="shared" ref="I211" si="63">G211/H211</f>
        <v>2866.434062684802</v>
      </c>
      <c r="J211" s="130">
        <f t="shared" ref="J211" si="64">AVERAGE(I200:I211)</f>
        <v>2310.1778052377226</v>
      </c>
      <c r="K211" s="133">
        <f t="shared" ref="K211" si="65">J211/$J$85*100</f>
        <v>101.08477796111792</v>
      </c>
      <c r="L211" s="130">
        <f t="shared" si="31"/>
        <v>8634.412433944728</v>
      </c>
      <c r="M211" s="130">
        <f t="shared" si="31"/>
        <v>6529.9370505795196</v>
      </c>
      <c r="N211" s="130">
        <f t="shared" ref="N211" si="66">($L$13*L211+$M$13*M211)/100</f>
        <v>7901.0196999387254</v>
      </c>
      <c r="O211" s="132">
        <f t="shared" ref="O211" si="67">N211/$N$85*100</f>
        <v>99.091001645409847</v>
      </c>
      <c r="P211" s="477">
        <v>259000</v>
      </c>
      <c r="Q211" s="477">
        <v>88570</v>
      </c>
      <c r="R211" s="130">
        <f t="shared" ref="R211" si="68">AVERAGE(P211:Q211)</f>
        <v>173785</v>
      </c>
      <c r="S211" s="133">
        <f t="shared" ref="S211" si="69">R211/$R$85*100</f>
        <v>204.53716236097216</v>
      </c>
      <c r="T211" s="427">
        <v>101.2</v>
      </c>
      <c r="U211" s="133">
        <v>101.08477796111792</v>
      </c>
      <c r="V211" s="133">
        <v>101.11093336394416</v>
      </c>
      <c r="W211" s="113">
        <v>42173</v>
      </c>
      <c r="X211" s="134">
        <v>0.8</v>
      </c>
      <c r="Y211" s="135">
        <v>0.8</v>
      </c>
      <c r="Z211" s="137">
        <v>48.15533980582525</v>
      </c>
      <c r="AB211" s="313"/>
    </row>
    <row r="212" spans="2:28" customFormat="1" ht="12" hidden="1" customHeight="1">
      <c r="B212" s="265" t="s">
        <v>355</v>
      </c>
      <c r="C212" s="270" t="s">
        <v>355</v>
      </c>
      <c r="D212" s="421">
        <v>100</v>
      </c>
      <c r="E212" s="420">
        <v>100</v>
      </c>
      <c r="F212" s="420">
        <v>100.2</v>
      </c>
      <c r="G212" s="130">
        <v>521557</v>
      </c>
      <c r="H212" s="129">
        <v>171</v>
      </c>
      <c r="I212" s="130">
        <f t="shared" ref="I212" si="70">G212/H212</f>
        <v>3050.0409356725145</v>
      </c>
      <c r="J212" s="130">
        <f t="shared" ref="J212" si="71">AVERAGE(I201:I212)</f>
        <v>2308.1752606757714</v>
      </c>
      <c r="K212" s="133">
        <f t="shared" ref="K212" si="72">J212/$J$85*100</f>
        <v>100.99715406829759</v>
      </c>
      <c r="L212" s="130">
        <f t="shared" si="31"/>
        <v>8634.420600444837</v>
      </c>
      <c r="M212" s="130">
        <f t="shared" si="31"/>
        <v>6529.9482010173742</v>
      </c>
      <c r="N212" s="130">
        <f t="shared" ref="N212" si="73">($L$13*L212+$M$13*M212)/100</f>
        <v>7901.0289063171249</v>
      </c>
      <c r="O212" s="132">
        <f t="shared" ref="O212" si="74">N212/$N$85*100</f>
        <v>99.09111710762761</v>
      </c>
      <c r="P212" s="477">
        <v>254100</v>
      </c>
      <c r="Q212" s="477">
        <v>84330</v>
      </c>
      <c r="R212" s="130">
        <f t="shared" ref="R212" si="75">AVERAGE(P212:Q212)</f>
        <v>169215</v>
      </c>
      <c r="S212" s="133">
        <f t="shared" ref="S212" si="76">R212/$R$85*100</f>
        <v>199.1584770199494</v>
      </c>
      <c r="T212" s="427">
        <v>101.2</v>
      </c>
      <c r="U212" s="133">
        <v>100.99715406829759</v>
      </c>
      <c r="V212" s="133">
        <v>101.04320009479403</v>
      </c>
      <c r="W212" s="113">
        <v>42206</v>
      </c>
      <c r="X212" s="134">
        <v>0.8</v>
      </c>
      <c r="Y212" s="135">
        <v>0.8</v>
      </c>
      <c r="Z212" s="137">
        <v>48.15533980582525</v>
      </c>
    </row>
    <row r="213" spans="2:28" customFormat="1" ht="12" hidden="1" customHeight="1">
      <c r="B213" s="265" t="s">
        <v>356</v>
      </c>
      <c r="C213" s="270" t="s">
        <v>356</v>
      </c>
      <c r="D213" s="421">
        <v>100</v>
      </c>
      <c r="E213" s="420">
        <v>100</v>
      </c>
      <c r="F213" s="420">
        <v>100</v>
      </c>
      <c r="G213" s="130">
        <v>316831</v>
      </c>
      <c r="H213" s="129">
        <v>156.19999999999999</v>
      </c>
      <c r="I213" s="130">
        <f t="shared" ref="I213:I224" si="77">G213/H213</f>
        <v>2028.3674775928298</v>
      </c>
      <c r="J213" s="130">
        <f t="shared" ref="J213:J224" si="78">AVERAGE(I202:I213)</f>
        <v>2302.3142980479893</v>
      </c>
      <c r="K213" s="133">
        <f t="shared" ref="K213:K224" si="79">J213/$J$85*100</f>
        <v>100.74070016915417</v>
      </c>
      <c r="L213" s="130">
        <f t="shared" ref="L213:M213" si="80">AVERAGE(L177:L212)</f>
        <v>8634.4192869101535</v>
      </c>
      <c r="M213" s="130">
        <f t="shared" si="80"/>
        <v>6529.9619631455844</v>
      </c>
      <c r="N213" s="130">
        <f t="shared" ref="N213:N224" si="81">($L$13*L213+$M$13*M213)/100</f>
        <v>7901.0328465296279</v>
      </c>
      <c r="O213" s="132">
        <f t="shared" ref="O213:O224" si="82">N213/$N$85*100</f>
        <v>99.091166523983773</v>
      </c>
      <c r="P213" s="477">
        <v>269800</v>
      </c>
      <c r="Q213" s="477">
        <v>68370</v>
      </c>
      <c r="R213" s="130">
        <f t="shared" ref="R213" si="83">AVERAGE(P213:Q213)</f>
        <v>169085</v>
      </c>
      <c r="S213" s="133">
        <f t="shared" ref="S213" si="84">R213/$R$85*100</f>
        <v>199.00547284175838</v>
      </c>
      <c r="T213" s="427">
        <v>101</v>
      </c>
      <c r="U213" s="133">
        <v>100.74070016915417</v>
      </c>
      <c r="V213" s="133">
        <v>100.79956123075615</v>
      </c>
      <c r="W213" s="113">
        <v>42235</v>
      </c>
      <c r="X213" s="134">
        <v>0.7</v>
      </c>
      <c r="Y213" s="135">
        <v>0.76129032258064511</v>
      </c>
      <c r="Z213" s="137">
        <v>45.825242718446603</v>
      </c>
    </row>
    <row r="214" spans="2:28" s="313" customFormat="1" ht="12" hidden="1" customHeight="1">
      <c r="B214" s="265" t="s">
        <v>164</v>
      </c>
      <c r="C214" s="270" t="s">
        <v>164</v>
      </c>
      <c r="D214" s="421">
        <v>100.1</v>
      </c>
      <c r="E214" s="420">
        <v>100</v>
      </c>
      <c r="F214" s="420">
        <v>99.8</v>
      </c>
      <c r="G214" s="130">
        <v>309076</v>
      </c>
      <c r="H214" s="129">
        <v>163.9</v>
      </c>
      <c r="I214" s="130">
        <f t="shared" si="77"/>
        <v>1885.7596095179988</v>
      </c>
      <c r="J214" s="130">
        <f t="shared" si="78"/>
        <v>2300.0944693814213</v>
      </c>
      <c r="K214" s="133">
        <f t="shared" si="79"/>
        <v>100.64356873305303</v>
      </c>
      <c r="L214" s="130">
        <f t="shared" ref="L214:M214" si="85">AVERAGE(L178:L213)</f>
        <v>8634.4073074712614</v>
      </c>
      <c r="M214" s="130">
        <f t="shared" si="85"/>
        <v>6529.9739835488454</v>
      </c>
      <c r="N214" s="130">
        <f t="shared" si="81"/>
        <v>7901.0292308425733</v>
      </c>
      <c r="O214" s="132">
        <f t="shared" si="82"/>
        <v>99.091121177678431</v>
      </c>
      <c r="P214" s="477">
        <v>262000</v>
      </c>
      <c r="Q214" s="477">
        <v>67520</v>
      </c>
      <c r="R214" s="130">
        <f t="shared" ref="R214" si="86">AVERAGE(P214:Q214)</f>
        <v>164760</v>
      </c>
      <c r="S214" s="133">
        <f t="shared" ref="S214" si="87">R214/$R$85*100</f>
        <v>193.91514152886481</v>
      </c>
      <c r="T214" s="427">
        <v>99.5</v>
      </c>
      <c r="U214" s="133">
        <v>100.64356873305303</v>
      </c>
      <c r="V214" s="133">
        <v>100.38397863065001</v>
      </c>
      <c r="W214" s="113">
        <v>42265</v>
      </c>
      <c r="X214" s="134">
        <v>0.7</v>
      </c>
      <c r="Y214" s="312">
        <v>0.7</v>
      </c>
      <c r="Z214" s="163">
        <v>42.135922330097088</v>
      </c>
    </row>
    <row r="215" spans="2:28" customFormat="1" ht="12" hidden="1" customHeight="1">
      <c r="B215" s="265" t="s">
        <v>165</v>
      </c>
      <c r="C215" s="270" t="s">
        <v>165</v>
      </c>
      <c r="D215" s="421">
        <v>100.1</v>
      </c>
      <c r="E215" s="420">
        <v>100.1</v>
      </c>
      <c r="F215" s="420">
        <v>99.6</v>
      </c>
      <c r="G215" s="130">
        <v>309067</v>
      </c>
      <c r="H215" s="129">
        <v>162.9</v>
      </c>
      <c r="I215" s="130">
        <f t="shared" si="77"/>
        <v>1897.280540208717</v>
      </c>
      <c r="J215" s="130">
        <f t="shared" si="78"/>
        <v>2302.8234760823557</v>
      </c>
      <c r="K215" s="133">
        <f t="shared" si="79"/>
        <v>100.76297990382652</v>
      </c>
      <c r="L215" s="130">
        <f t="shared" ref="L215:M215" si="88">AVERAGE(L179:L214)</f>
        <v>8634.3911584721845</v>
      </c>
      <c r="M215" s="130">
        <f t="shared" si="88"/>
        <v>6529.9821122371104</v>
      </c>
      <c r="N215" s="130">
        <f t="shared" si="81"/>
        <v>7901.0215424221442</v>
      </c>
      <c r="O215" s="132">
        <f t="shared" si="82"/>
        <v>99.091024753000312</v>
      </c>
      <c r="P215" s="477">
        <v>282400</v>
      </c>
      <c r="Q215" s="477">
        <v>76290</v>
      </c>
      <c r="R215" s="130">
        <f t="shared" ref="R215:R217" si="89">AVERAGE(P215:Q215)</f>
        <v>179345</v>
      </c>
      <c r="S215" s="133">
        <f t="shared" ref="S215:S226" si="90">R215/$R$85*100</f>
        <v>211.08103336668037</v>
      </c>
      <c r="T215" s="427">
        <v>100.6</v>
      </c>
      <c r="U215" s="133">
        <v>100.76297990382652</v>
      </c>
      <c r="V215" s="133">
        <v>100.72598346565788</v>
      </c>
      <c r="W215" s="113">
        <v>42297</v>
      </c>
      <c r="X215" s="134">
        <v>0.7</v>
      </c>
      <c r="Y215" s="312">
        <v>0.7</v>
      </c>
      <c r="Z215" s="163">
        <v>42.135922330097102</v>
      </c>
    </row>
    <row r="216" spans="2:28" customFormat="1" ht="12" hidden="1" customHeight="1">
      <c r="B216" s="321" t="s">
        <v>166</v>
      </c>
      <c r="C216" s="270" t="s">
        <v>166</v>
      </c>
      <c r="D216" s="419">
        <v>100.1</v>
      </c>
      <c r="E216" s="420">
        <v>100.1</v>
      </c>
      <c r="F216" s="420">
        <v>99.7</v>
      </c>
      <c r="G216" s="130">
        <v>324601</v>
      </c>
      <c r="H216" s="314">
        <v>168.8</v>
      </c>
      <c r="I216" s="130">
        <f t="shared" si="77"/>
        <v>1922.9917061611372</v>
      </c>
      <c r="J216" s="130">
        <f t="shared" si="78"/>
        <v>2301.0196018528027</v>
      </c>
      <c r="K216" s="133">
        <f t="shared" si="79"/>
        <v>100.68404908492991</v>
      </c>
      <c r="L216" s="130">
        <f t="shared" ref="L216:M216" si="91">AVERAGE(L180:L215)</f>
        <v>8634.3768734737987</v>
      </c>
      <c r="M216" s="130">
        <f t="shared" si="91"/>
        <v>6529.986810732411</v>
      </c>
      <c r="N216" s="130">
        <f t="shared" si="81"/>
        <v>7901.0138730185272</v>
      </c>
      <c r="O216" s="132">
        <f t="shared" si="82"/>
        <v>99.090928566822413</v>
      </c>
      <c r="P216" s="478">
        <v>336400</v>
      </c>
      <c r="Q216" s="478">
        <v>93380</v>
      </c>
      <c r="R216" s="130">
        <f t="shared" si="89"/>
        <v>214890</v>
      </c>
      <c r="S216" s="133">
        <f t="shared" si="90"/>
        <v>252.91590654975579</v>
      </c>
      <c r="T216" s="427">
        <v>99.8</v>
      </c>
      <c r="U216" s="316">
        <v>100.68404908492991</v>
      </c>
      <c r="V216" s="133">
        <v>100.48336994265082</v>
      </c>
      <c r="W216" s="113">
        <v>42328</v>
      </c>
      <c r="X216" s="134">
        <v>0.7</v>
      </c>
      <c r="Y216" s="135">
        <v>0.7</v>
      </c>
      <c r="Z216" s="137">
        <v>42.135922330097088</v>
      </c>
    </row>
    <row r="217" spans="2:28" customFormat="1" ht="12" hidden="1" customHeight="1">
      <c r="B217" s="387" t="s">
        <v>167</v>
      </c>
      <c r="C217" s="271" t="s">
        <v>167</v>
      </c>
      <c r="D217" s="474">
        <v>100.2</v>
      </c>
      <c r="E217" s="426">
        <v>100.1</v>
      </c>
      <c r="F217" s="426">
        <v>99.6</v>
      </c>
      <c r="G217" s="150">
        <v>698756</v>
      </c>
      <c r="H217" s="149">
        <v>163.80000000000001</v>
      </c>
      <c r="I217" s="150">
        <f t="shared" si="77"/>
        <v>4265.9096459096454</v>
      </c>
      <c r="J217" s="150">
        <f t="shared" si="78"/>
        <v>2297.3251052319961</v>
      </c>
      <c r="K217" s="152">
        <f t="shared" si="79"/>
        <v>100.52239167061938</v>
      </c>
      <c r="L217" s="150">
        <f t="shared" ref="L217:M217" si="92">AVERAGE(L181:L216)</f>
        <v>8634.3652111916817</v>
      </c>
      <c r="M217" s="150">
        <f t="shared" si="92"/>
        <v>6529.9883739484721</v>
      </c>
      <c r="N217" s="150">
        <f t="shared" si="81"/>
        <v>7901.0068197160845</v>
      </c>
      <c r="O217" s="153">
        <f t="shared" si="82"/>
        <v>99.090840107505713</v>
      </c>
      <c r="P217" s="479">
        <v>341100</v>
      </c>
      <c r="Q217" s="479">
        <v>105400</v>
      </c>
      <c r="R217" s="150">
        <f t="shared" si="89"/>
        <v>223250</v>
      </c>
      <c r="S217" s="152">
        <f t="shared" si="90"/>
        <v>262.75525216265521</v>
      </c>
      <c r="T217" s="482">
        <v>99.8</v>
      </c>
      <c r="U217" s="152">
        <v>100.52239167061938</v>
      </c>
      <c r="V217" s="152">
        <v>100.35840876138879</v>
      </c>
      <c r="W217" s="115">
        <v>42722</v>
      </c>
      <c r="X217" s="155">
        <v>0.7</v>
      </c>
      <c r="Y217" s="156">
        <v>0.7</v>
      </c>
      <c r="Z217" s="157">
        <v>42.135922330097088</v>
      </c>
    </row>
    <row r="218" spans="2:28" customFormat="1" ht="12" hidden="1" customHeight="1">
      <c r="B218" s="321" t="s">
        <v>373</v>
      </c>
      <c r="C218" s="270" t="s">
        <v>374</v>
      </c>
      <c r="D218" s="419">
        <v>100.4</v>
      </c>
      <c r="E218" s="420">
        <v>100.2</v>
      </c>
      <c r="F218" s="420">
        <v>99.1</v>
      </c>
      <c r="G218" s="130">
        <v>309649</v>
      </c>
      <c r="H218" s="129">
        <v>147.4</v>
      </c>
      <c r="I218" s="130">
        <f t="shared" si="77"/>
        <v>2100.7394843962006</v>
      </c>
      <c r="J218" s="130">
        <f t="shared" si="78"/>
        <v>2299.8973624664909</v>
      </c>
      <c r="K218" s="133">
        <f t="shared" si="79"/>
        <v>100.63494406845572</v>
      </c>
      <c r="L218" s="130">
        <f t="shared" ref="L218:M220" si="93">AVERAGE(L182:L217)</f>
        <v>8634.3549527270734</v>
      </c>
      <c r="M218" s="130">
        <f t="shared" si="93"/>
        <v>6529.9879439615361</v>
      </c>
      <c r="N218" s="130">
        <f t="shared" si="81"/>
        <v>7900.9999863968442</v>
      </c>
      <c r="O218" s="132">
        <f t="shared" si="82"/>
        <v>99.090754407118439</v>
      </c>
      <c r="P218" s="477">
        <v>331800</v>
      </c>
      <c r="Q218" s="477">
        <v>106300</v>
      </c>
      <c r="R218" s="130">
        <f>AVERAGE(P218:Q218)</f>
        <v>219050</v>
      </c>
      <c r="S218" s="133">
        <f t="shared" si="90"/>
        <v>257.81204025186844</v>
      </c>
      <c r="T218" s="427">
        <v>105.5</v>
      </c>
      <c r="U218" s="133">
        <v>100.63494406845572</v>
      </c>
      <c r="V218" s="133">
        <v>101.73931176491628</v>
      </c>
      <c r="W218" s="113">
        <v>42025</v>
      </c>
      <c r="X218" s="134">
        <v>0.6</v>
      </c>
      <c r="Y218" s="135">
        <v>0.6645161290322581</v>
      </c>
      <c r="Z218" s="137">
        <v>40.000000000000007</v>
      </c>
    </row>
    <row r="219" spans="2:28" customFormat="1" ht="12" hidden="1" customHeight="1">
      <c r="B219" s="265" t="s">
        <v>255</v>
      </c>
      <c r="C219" s="270" t="s">
        <v>255</v>
      </c>
      <c r="D219" s="421">
        <v>100.5</v>
      </c>
      <c r="E219" s="420">
        <v>100.2</v>
      </c>
      <c r="F219" s="420">
        <v>99</v>
      </c>
      <c r="G219" s="130">
        <v>305395</v>
      </c>
      <c r="H219" s="129">
        <v>164.2</v>
      </c>
      <c r="I219" s="130">
        <f t="shared" ref="I219" si="94">G219/H219</f>
        <v>1859.89646772229</v>
      </c>
      <c r="J219" s="130">
        <f t="shared" ref="J219" si="95">AVERAGE(I208:I219)</f>
        <v>2302.2490051560194</v>
      </c>
      <c r="K219" s="133">
        <f t="shared" ref="K219" si="96">J219/$J$85*100</f>
        <v>100.73784319534367</v>
      </c>
      <c r="L219" s="130">
        <f t="shared" si="93"/>
        <v>8634.3491222235371</v>
      </c>
      <c r="M219" s="130">
        <f t="shared" si="93"/>
        <v>6529.9866367783388</v>
      </c>
      <c r="N219" s="130">
        <f t="shared" ref="N219" si="97">($L$13*L219+$M$13*M219)/100</f>
        <v>7900.9957322340415</v>
      </c>
      <c r="O219" s="132">
        <f t="shared" ref="O219:O220" si="98">N219/$N$85*100</f>
        <v>99.090701053340155</v>
      </c>
      <c r="P219" s="477">
        <v>387700</v>
      </c>
      <c r="Q219" s="477">
        <v>109300</v>
      </c>
      <c r="R219" s="130">
        <f>AVERAGE(P219:Q219)</f>
        <v>248500</v>
      </c>
      <c r="S219" s="133">
        <f t="shared" ref="S219" si="99">R219/$R$85*100</f>
        <v>292.47337138821871</v>
      </c>
      <c r="T219" s="481">
        <v>105.5</v>
      </c>
      <c r="U219" s="133">
        <v>100.73784319534367</v>
      </c>
      <c r="V219" s="133">
        <v>101.81885279000066</v>
      </c>
      <c r="W219" s="113">
        <v>42419</v>
      </c>
      <c r="X219" s="134">
        <v>0.4</v>
      </c>
      <c r="Y219" s="135">
        <v>0.5241379310344827</v>
      </c>
      <c r="Z219" s="137">
        <v>31.550050217609645</v>
      </c>
    </row>
    <row r="220" spans="2:28" customFormat="1" ht="12" hidden="1" customHeight="1">
      <c r="B220" s="265" t="s">
        <v>168</v>
      </c>
      <c r="C220" s="270" t="s">
        <v>168</v>
      </c>
      <c r="D220" s="421">
        <v>100.6</v>
      </c>
      <c r="E220" s="420">
        <v>100.2</v>
      </c>
      <c r="F220" s="420">
        <v>98.9</v>
      </c>
      <c r="G220" s="130">
        <v>317797</v>
      </c>
      <c r="H220" s="129">
        <v>167.2</v>
      </c>
      <c r="I220" s="130">
        <f t="shared" ref="I220" si="100">G220/H220</f>
        <v>1900.6997607655503</v>
      </c>
      <c r="J220" s="130">
        <f t="shared" ref="J220" si="101">AVERAGE(I209:I220)</f>
        <v>2302.2140537820255</v>
      </c>
      <c r="K220" s="133">
        <f t="shared" ref="K220" si="102">J220/$J$85*100</f>
        <v>100.73631385337198</v>
      </c>
      <c r="L220" s="130">
        <f t="shared" si="93"/>
        <v>8634.344090759565</v>
      </c>
      <c r="M220" s="130">
        <f t="shared" si="93"/>
        <v>6529.9853445515155</v>
      </c>
      <c r="N220" s="130">
        <f t="shared" ref="N220" si="103">($L$13*L220+$M$13*M220)/100</f>
        <v>7900.9920038641221</v>
      </c>
      <c r="O220" s="132">
        <f t="shared" si="98"/>
        <v>99.090654293817479</v>
      </c>
      <c r="P220" s="477">
        <v>394700</v>
      </c>
      <c r="Q220" s="477">
        <v>108400</v>
      </c>
      <c r="R220" s="130">
        <f>AVERAGE(P220:Q220)</f>
        <v>251550</v>
      </c>
      <c r="S220" s="133">
        <f t="shared" ref="S220" si="104">R220/$R$85*100</f>
        <v>296.06308479962337</v>
      </c>
      <c r="T220" s="427">
        <v>105.5</v>
      </c>
      <c r="U220" s="133">
        <v>100.73631385337198</v>
      </c>
      <c r="V220" s="133">
        <v>101.81767060865654</v>
      </c>
      <c r="W220" s="113">
        <v>42447</v>
      </c>
      <c r="X220" s="134">
        <v>0.2</v>
      </c>
      <c r="Y220" s="135">
        <v>0.30967741935483872</v>
      </c>
      <c r="Z220" s="137">
        <v>18.640776699029129</v>
      </c>
    </row>
    <row r="221" spans="2:28" customFormat="1" ht="12" hidden="1" customHeight="1">
      <c r="B221" s="265" t="s">
        <v>250</v>
      </c>
      <c r="C221" s="270" t="s">
        <v>250</v>
      </c>
      <c r="D221" s="421">
        <v>100.6</v>
      </c>
      <c r="E221" s="420">
        <v>100.2</v>
      </c>
      <c r="F221" s="420">
        <v>98.3</v>
      </c>
      <c r="G221" s="130">
        <v>313633</v>
      </c>
      <c r="H221" s="129">
        <v>170</v>
      </c>
      <c r="I221" s="130">
        <f t="shared" si="77"/>
        <v>1844.9</v>
      </c>
      <c r="J221" s="130">
        <f t="shared" si="78"/>
        <v>2303.0297836805426</v>
      </c>
      <c r="K221" s="133">
        <f t="shared" si="79"/>
        <v>100.77200715606101</v>
      </c>
      <c r="L221" s="130">
        <f t="shared" ref="L221:M221" si="105">AVERAGE(L185:L220)</f>
        <v>8634.3396173796464</v>
      </c>
      <c r="M221" s="130">
        <f t="shared" si="105"/>
        <v>6529.9841058266156</v>
      </c>
      <c r="N221" s="130">
        <f t="shared" si="81"/>
        <v>7900.9886577354446</v>
      </c>
      <c r="O221" s="132">
        <f t="shared" si="82"/>
        <v>99.090612328190915</v>
      </c>
      <c r="P221" s="477">
        <v>388400</v>
      </c>
      <c r="Q221" s="477">
        <v>113800</v>
      </c>
      <c r="R221" s="130">
        <f t="shared" ref="R221:R229" si="106">AVERAGE(P221:Q221)</f>
        <v>251100</v>
      </c>
      <c r="S221" s="133">
        <f t="shared" si="90"/>
        <v>295.53345495203905</v>
      </c>
      <c r="T221" s="481">
        <v>104.6</v>
      </c>
      <c r="U221" s="133">
        <v>100.77200715606101</v>
      </c>
      <c r="V221" s="133">
        <v>101.64096153163514</v>
      </c>
      <c r="W221" s="113">
        <v>42480</v>
      </c>
      <c r="X221" s="134">
        <v>0.1</v>
      </c>
      <c r="Y221" s="312">
        <v>0.16333333333333333</v>
      </c>
      <c r="Z221" s="163">
        <v>9.8317152103559877</v>
      </c>
    </row>
    <row r="222" spans="2:28" s="313" customFormat="1" ht="12" hidden="1" customHeight="1">
      <c r="B222" s="265" t="s">
        <v>160</v>
      </c>
      <c r="C222" s="270" t="s">
        <v>160</v>
      </c>
      <c r="D222" s="421">
        <v>100.6</v>
      </c>
      <c r="E222" s="420">
        <v>100.2</v>
      </c>
      <c r="F222" s="420">
        <v>98.4</v>
      </c>
      <c r="G222" s="130">
        <v>305520</v>
      </c>
      <c r="H222" s="129">
        <v>149.80000000000001</v>
      </c>
      <c r="I222" s="130">
        <f t="shared" si="77"/>
        <v>2039.5193591455272</v>
      </c>
      <c r="J222" s="130">
        <f t="shared" si="78"/>
        <v>2305.2115874814349</v>
      </c>
      <c r="K222" s="133">
        <f t="shared" si="79"/>
        <v>100.86747476563976</v>
      </c>
      <c r="L222" s="130">
        <f t="shared" ref="L222:M222" si="107">AVERAGE(L186:L221)</f>
        <v>8634.3355466383109</v>
      </c>
      <c r="M222" s="130">
        <f t="shared" si="107"/>
        <v>6529.9829162233391</v>
      </c>
      <c r="N222" s="130">
        <f>($L$13*L222+$M$13*M222)/100</f>
        <v>7900.9855910475344</v>
      </c>
      <c r="O222" s="132">
        <f t="shared" si="82"/>
        <v>99.090573867183551</v>
      </c>
      <c r="P222" s="477">
        <v>398500</v>
      </c>
      <c r="Q222" s="477">
        <v>126200</v>
      </c>
      <c r="R222" s="130">
        <f t="shared" si="106"/>
        <v>262350</v>
      </c>
      <c r="S222" s="133">
        <f t="shared" si="90"/>
        <v>308.77420114164653</v>
      </c>
      <c r="T222" s="427">
        <v>104.6</v>
      </c>
      <c r="U222" s="133">
        <v>100.86747476563976</v>
      </c>
      <c r="V222" s="133">
        <v>101.71475799383953</v>
      </c>
      <c r="W222" s="113">
        <v>42515</v>
      </c>
      <c r="X222" s="134">
        <v>0.1</v>
      </c>
      <c r="Y222" s="312">
        <v>0.1</v>
      </c>
      <c r="Z222" s="163">
        <v>6.0194174757281562</v>
      </c>
    </row>
    <row r="223" spans="2:28" customFormat="1" ht="12" hidden="1" customHeight="1">
      <c r="B223" s="265" t="s">
        <v>161</v>
      </c>
      <c r="C223" s="270" t="s">
        <v>161</v>
      </c>
      <c r="D223" s="421">
        <v>100.7</v>
      </c>
      <c r="E223" s="420">
        <v>100.2</v>
      </c>
      <c r="F223" s="420">
        <v>98.4</v>
      </c>
      <c r="G223" s="130">
        <v>487395</v>
      </c>
      <c r="H223" s="129">
        <v>169.4</v>
      </c>
      <c r="I223" s="130">
        <f t="shared" si="77"/>
        <v>2877.1841794569068</v>
      </c>
      <c r="J223" s="130">
        <f t="shared" si="78"/>
        <v>2306.1074305457769</v>
      </c>
      <c r="K223" s="133">
        <f>J223/$J$85*100</f>
        <v>100.90667352213447</v>
      </c>
      <c r="L223" s="130">
        <f>AVERAGE(L187:L222)</f>
        <v>8634.3318526297207</v>
      </c>
      <c r="M223" s="130">
        <f>AVERAGE(M187:M222)</f>
        <v>6529.9817002699983</v>
      </c>
      <c r="N223" s="130">
        <f>($L$13*L223+$M$13*M223)/100</f>
        <v>7900.9827606212548</v>
      </c>
      <c r="O223" s="132">
        <f>N223/$N$85*100</f>
        <v>99.090538369262305</v>
      </c>
      <c r="P223" s="477">
        <v>374900</v>
      </c>
      <c r="Q223" s="477">
        <v>128500</v>
      </c>
      <c r="R223" s="130">
        <f t="shared" si="106"/>
        <v>251700</v>
      </c>
      <c r="S223" s="133">
        <f t="shared" si="90"/>
        <v>296.23962808215151</v>
      </c>
      <c r="T223" s="427">
        <v>104</v>
      </c>
      <c r="U223" s="394">
        <v>100.90667352213447</v>
      </c>
      <c r="V223" s="133">
        <v>101.60885863260994</v>
      </c>
      <c r="W223" s="113">
        <v>42541</v>
      </c>
      <c r="X223" s="134">
        <v>0.1</v>
      </c>
      <c r="Y223" s="135">
        <v>0.1</v>
      </c>
      <c r="Z223" s="377">
        <v>6.0194174757281562</v>
      </c>
    </row>
    <row r="224" spans="2:28" s="313" customFormat="1" ht="12" hidden="1" customHeight="1">
      <c r="B224" s="265" t="s">
        <v>237</v>
      </c>
      <c r="C224" s="270" t="s">
        <v>237</v>
      </c>
      <c r="D224" s="421">
        <v>100.7</v>
      </c>
      <c r="E224" s="420">
        <v>100.2</v>
      </c>
      <c r="F224" s="420">
        <v>98.4</v>
      </c>
      <c r="G224" s="130">
        <v>526799</v>
      </c>
      <c r="H224" s="129">
        <v>168.1</v>
      </c>
      <c r="I224" s="130">
        <f t="shared" si="77"/>
        <v>3133.8429506246284</v>
      </c>
      <c r="J224" s="130">
        <f t="shared" si="78"/>
        <v>2313.0909317917863</v>
      </c>
      <c r="K224" s="133">
        <f t="shared" si="79"/>
        <v>101.21224553102641</v>
      </c>
      <c r="L224" s="130">
        <f t="shared" ref="L224:M224" si="108">AVERAGE(L188:L223)</f>
        <v>8634.32869939989</v>
      </c>
      <c r="M224" s="130">
        <f t="shared" si="108"/>
        <v>6529.9803791426466</v>
      </c>
      <c r="N224" s="130">
        <f t="shared" si="81"/>
        <v>7900.9802458643926</v>
      </c>
      <c r="O224" s="132">
        <f t="shared" si="82"/>
        <v>99.090506830323548</v>
      </c>
      <c r="P224" s="477">
        <v>377800</v>
      </c>
      <c r="Q224" s="477">
        <v>119100</v>
      </c>
      <c r="R224" s="130">
        <f t="shared" si="106"/>
        <v>248450</v>
      </c>
      <c r="S224" s="133">
        <f t="shared" si="90"/>
        <v>292.41452362737601</v>
      </c>
      <c r="T224" s="427">
        <v>105.1</v>
      </c>
      <c r="U224" s="133">
        <v>101.21224553102641</v>
      </c>
      <c r="V224" s="133">
        <v>102.09476579548341</v>
      </c>
      <c r="W224" s="113">
        <v>42572</v>
      </c>
      <c r="X224" s="134">
        <v>0.1</v>
      </c>
      <c r="Y224" s="312">
        <v>0.1</v>
      </c>
      <c r="Z224" s="163">
        <v>6.0194174757281562</v>
      </c>
    </row>
    <row r="225" spans="2:26" customFormat="1" ht="12" hidden="1" customHeight="1">
      <c r="B225" s="265" t="s">
        <v>356</v>
      </c>
      <c r="C225" s="270" t="s">
        <v>356</v>
      </c>
      <c r="D225" s="421">
        <v>100.7</v>
      </c>
      <c r="E225" s="420">
        <v>100.2</v>
      </c>
      <c r="F225" s="420">
        <v>98.4</v>
      </c>
      <c r="G225" s="130">
        <v>319349</v>
      </c>
      <c r="H225" s="129">
        <v>154.9</v>
      </c>
      <c r="I225" s="130">
        <f t="shared" ref="I225:I236" si="109">G225/H225</f>
        <v>2061.6462233699158</v>
      </c>
      <c r="J225" s="130">
        <f t="shared" ref="J225:J236" si="110">AVERAGE(I214:I225)</f>
        <v>2315.8641606065435</v>
      </c>
      <c r="K225" s="133">
        <f t="shared" ref="K225:K234" si="111">J225/$J$85*100</f>
        <v>101.3335916968235</v>
      </c>
      <c r="L225" s="130">
        <f t="shared" ref="L225:M225" si="112">AVERAGE(L189:L224)</f>
        <v>8634.3262437072444</v>
      </c>
      <c r="M225" s="130">
        <f t="shared" si="112"/>
        <v>6529.9788670747039</v>
      </c>
      <c r="N225" s="130">
        <f t="shared" ref="N225:N233" si="113">($L$13*L225+$M$13*M225)/100</f>
        <v>7900.9781190173617</v>
      </c>
      <c r="O225" s="132">
        <f t="shared" ref="O225:O234" si="114">N225/$N$85*100</f>
        <v>99.090480156373786</v>
      </c>
      <c r="P225" s="477">
        <v>367200</v>
      </c>
      <c r="Q225" s="477">
        <v>99880</v>
      </c>
      <c r="R225" s="130">
        <f t="shared" si="106"/>
        <v>233540</v>
      </c>
      <c r="S225" s="133">
        <f t="shared" si="90"/>
        <v>274.86612134408284</v>
      </c>
      <c r="T225" s="427">
        <v>105</v>
      </c>
      <c r="U225" s="133">
        <v>101.3335916968235</v>
      </c>
      <c r="V225" s="133">
        <v>102.16586638164455</v>
      </c>
      <c r="W225" s="113">
        <v>42601</v>
      </c>
      <c r="X225" s="134">
        <v>0.1</v>
      </c>
      <c r="Y225" s="312">
        <v>0.1</v>
      </c>
      <c r="Z225" s="163">
        <v>6.0194174757281562</v>
      </c>
    </row>
    <row r="226" spans="2:26" s="313" customFormat="1" ht="12" hidden="1" customHeight="1">
      <c r="B226" s="265" t="s">
        <v>164</v>
      </c>
      <c r="C226" s="270" t="s">
        <v>164</v>
      </c>
      <c r="D226" s="421">
        <v>100.7</v>
      </c>
      <c r="E226" s="420">
        <v>100.1</v>
      </c>
      <c r="F226" s="420">
        <v>98.4</v>
      </c>
      <c r="G226" s="130">
        <v>309417</v>
      </c>
      <c r="H226" s="129">
        <v>164.9</v>
      </c>
      <c r="I226" s="130">
        <f t="shared" si="109"/>
        <v>1876.3917525773195</v>
      </c>
      <c r="J226" s="130">
        <f t="shared" si="110"/>
        <v>2315.0835058614866</v>
      </c>
      <c r="K226" s="133">
        <f t="shared" si="111"/>
        <v>101.29943315223464</v>
      </c>
      <c r="L226" s="130">
        <f t="shared" ref="L226:M226" si="115">AVERAGE(L190:L225)</f>
        <v>8634.3246328927598</v>
      </c>
      <c r="M226" s="130">
        <f t="shared" si="115"/>
        <v>6529.9771370354692</v>
      </c>
      <c r="N226" s="130">
        <f t="shared" si="113"/>
        <v>7900.9764666540104</v>
      </c>
      <c r="O226" s="132">
        <f t="shared" si="114"/>
        <v>99.090459433182872</v>
      </c>
      <c r="P226" s="477">
        <v>450300</v>
      </c>
      <c r="Q226" s="477">
        <v>87590</v>
      </c>
      <c r="R226" s="130">
        <f t="shared" si="106"/>
        <v>268945</v>
      </c>
      <c r="S226" s="133">
        <f t="shared" si="90"/>
        <v>316.53622079679866</v>
      </c>
      <c r="T226" s="427">
        <v>103.8</v>
      </c>
      <c r="U226" s="133">
        <v>101.29943315223464</v>
      </c>
      <c r="V226" s="133">
        <v>101.86706182667736</v>
      </c>
      <c r="W226" s="113">
        <v>42633</v>
      </c>
      <c r="X226" s="134">
        <v>0.2</v>
      </c>
      <c r="Y226" s="312">
        <f>0.1*19/30+0.2*11/30</f>
        <v>0.13666666666666666</v>
      </c>
      <c r="Z226" s="163">
        <v>8.2265372168284792</v>
      </c>
    </row>
    <row r="227" spans="2:26" s="313" customFormat="1" ht="12" hidden="1" customHeight="1">
      <c r="B227" s="265" t="s">
        <v>165</v>
      </c>
      <c r="C227" s="270" t="s">
        <v>165</v>
      </c>
      <c r="D227" s="421">
        <v>100.7</v>
      </c>
      <c r="E227" s="420">
        <v>100.1</v>
      </c>
      <c r="F227" s="420">
        <v>97.9</v>
      </c>
      <c r="G227" s="130">
        <v>310709</v>
      </c>
      <c r="H227" s="129">
        <v>163.6</v>
      </c>
      <c r="I227" s="130">
        <f t="shared" si="109"/>
        <v>1899.1992665036676</v>
      </c>
      <c r="J227" s="130">
        <f t="shared" si="110"/>
        <v>2315.2433997193989</v>
      </c>
      <c r="K227" s="133">
        <f t="shared" si="111"/>
        <v>101.30642951203335</v>
      </c>
      <c r="L227" s="130">
        <f t="shared" ref="L227:M227" si="116">AVERAGE(L191:L226)</f>
        <v>8634.3240311389964</v>
      </c>
      <c r="M227" s="130">
        <f t="shared" si="116"/>
        <v>6529.9752776565301</v>
      </c>
      <c r="N227" s="130">
        <f t="shared" si="113"/>
        <v>7900.9754266279961</v>
      </c>
      <c r="O227" s="132">
        <f t="shared" si="114"/>
        <v>99.090446389648818</v>
      </c>
      <c r="P227" s="477">
        <v>493100</v>
      </c>
      <c r="Q227" s="477">
        <v>87610</v>
      </c>
      <c r="R227" s="130">
        <f t="shared" si="106"/>
        <v>290355</v>
      </c>
      <c r="S227" s="133">
        <f t="shared" ref="S227:S238" si="117">R227/$R$85*100</f>
        <v>341.73483198964283</v>
      </c>
      <c r="T227" s="427">
        <v>103.8</v>
      </c>
      <c r="U227" s="133">
        <v>101.30642951203335</v>
      </c>
      <c r="V227" s="133">
        <v>101.87247001280177</v>
      </c>
      <c r="W227" s="113">
        <v>42663</v>
      </c>
      <c r="X227" s="134">
        <v>0.1</v>
      </c>
      <c r="Y227" s="312">
        <f>0.2*19/31+0.1*12/31</f>
        <v>0.16129032258064518</v>
      </c>
      <c r="Z227" s="163">
        <v>9.7087378640776727</v>
      </c>
    </row>
    <row r="228" spans="2:26" s="313" customFormat="1" ht="12" hidden="1" customHeight="1">
      <c r="B228" s="265" t="s">
        <v>166</v>
      </c>
      <c r="C228" s="270" t="s">
        <v>166</v>
      </c>
      <c r="D228" s="421">
        <v>100.7</v>
      </c>
      <c r="E228" s="420">
        <v>100.1</v>
      </c>
      <c r="F228" s="420">
        <v>98</v>
      </c>
      <c r="G228" s="130">
        <v>327651</v>
      </c>
      <c r="H228" s="129">
        <v>168</v>
      </c>
      <c r="I228" s="130">
        <f t="shared" si="109"/>
        <v>1950.3035714285713</v>
      </c>
      <c r="J228" s="130">
        <f t="shared" si="110"/>
        <v>2317.5193884916857</v>
      </c>
      <c r="K228" s="133">
        <f t="shared" si="111"/>
        <v>101.40601830522795</v>
      </c>
      <c r="L228" s="130">
        <f t="shared" ref="L228:M228" si="118">AVERAGE(L192:L227)</f>
        <v>8634.3244379410626</v>
      </c>
      <c r="M228" s="130">
        <f t="shared" si="118"/>
        <v>6529.9734252218022</v>
      </c>
      <c r="N228" s="130">
        <f t="shared" si="113"/>
        <v>7900.9750461042222</v>
      </c>
      <c r="O228" s="132">
        <f t="shared" si="114"/>
        <v>99.090441617292441</v>
      </c>
      <c r="P228" s="477">
        <v>447700</v>
      </c>
      <c r="Q228" s="477">
        <v>93940</v>
      </c>
      <c r="R228" s="130">
        <f t="shared" si="106"/>
        <v>270820</v>
      </c>
      <c r="S228" s="133">
        <f t="shared" si="117"/>
        <v>318.74301182839997</v>
      </c>
      <c r="T228" s="427">
        <v>105</v>
      </c>
      <c r="U228" s="133">
        <v>101.40601830522795</v>
      </c>
      <c r="V228" s="133">
        <v>102.22185214994118</v>
      </c>
      <c r="W228" s="113">
        <v>42698</v>
      </c>
      <c r="X228" s="134">
        <v>0.08</v>
      </c>
      <c r="Y228" s="312">
        <v>9.4838709677419364E-2</v>
      </c>
      <c r="Z228" s="163">
        <v>5.899029126213593</v>
      </c>
    </row>
    <row r="229" spans="2:26" customFormat="1" ht="12" hidden="1" customHeight="1">
      <c r="B229" s="387" t="s">
        <v>167</v>
      </c>
      <c r="C229" s="271" t="s">
        <v>167</v>
      </c>
      <c r="D229" s="474">
        <v>100.7</v>
      </c>
      <c r="E229" s="426">
        <v>100.1</v>
      </c>
      <c r="F229" s="426">
        <v>98.3</v>
      </c>
      <c r="G229" s="150">
        <v>705548</v>
      </c>
      <c r="H229" s="149">
        <v>165.8</v>
      </c>
      <c r="I229" s="150">
        <f t="shared" si="109"/>
        <v>4255.4161640530756</v>
      </c>
      <c r="J229" s="150">
        <f t="shared" si="110"/>
        <v>2316.6449316703047</v>
      </c>
      <c r="K229" s="152">
        <f t="shared" si="111"/>
        <v>101.36775533108569</v>
      </c>
      <c r="L229" s="150">
        <f t="shared" ref="L229:M229" si="119">AVERAGE(L193:L228)</f>
        <v>8634.3256750755336</v>
      </c>
      <c r="M229" s="150">
        <f t="shared" si="119"/>
        <v>6529.971694112337</v>
      </c>
      <c r="N229" s="150">
        <f t="shared" si="113"/>
        <v>7900.9752488295699</v>
      </c>
      <c r="O229" s="153">
        <f t="shared" si="114"/>
        <v>99.090444159781697</v>
      </c>
      <c r="P229" s="479">
        <v>480200</v>
      </c>
      <c r="Q229" s="479">
        <v>89250</v>
      </c>
      <c r="R229" s="150">
        <f t="shared" si="106"/>
        <v>284725</v>
      </c>
      <c r="S229" s="152">
        <f t="shared" si="117"/>
        <v>335.10857411875475</v>
      </c>
      <c r="T229" s="482">
        <v>105</v>
      </c>
      <c r="U229" s="152">
        <v>101.36775533108569</v>
      </c>
      <c r="V229" s="152">
        <v>102.19227487092923</v>
      </c>
      <c r="W229" s="115">
        <v>43088</v>
      </c>
      <c r="X229" s="155">
        <v>0.3</v>
      </c>
      <c r="Y229" s="397">
        <v>0.16516129032258065</v>
      </c>
      <c r="Z229" s="320">
        <v>9.9417475728155349</v>
      </c>
    </row>
    <row r="230" spans="2:26" customFormat="1" ht="12" hidden="1" customHeight="1">
      <c r="B230" s="321" t="s">
        <v>376</v>
      </c>
      <c r="C230" s="270" t="s">
        <v>377</v>
      </c>
      <c r="D230" s="419">
        <v>101.1</v>
      </c>
      <c r="E230" s="420">
        <v>100.1</v>
      </c>
      <c r="F230" s="420">
        <v>98.8</v>
      </c>
      <c r="G230" s="130">
        <v>315277</v>
      </c>
      <c r="H230" s="129">
        <v>146.19999999999999</v>
      </c>
      <c r="I230" s="130">
        <f t="shared" si="109"/>
        <v>2156.4774281805749</v>
      </c>
      <c r="J230" s="130">
        <f t="shared" si="110"/>
        <v>2321.2897603190027</v>
      </c>
      <c r="K230" s="133">
        <f t="shared" si="111"/>
        <v>101.57099573602618</v>
      </c>
      <c r="L230" s="130">
        <f t="shared" ref="L230:M230" si="120">AVERAGE(L194:L229)</f>
        <v>8634.3275300762907</v>
      </c>
      <c r="M230" s="130">
        <f t="shared" si="120"/>
        <v>6529.970194569768</v>
      </c>
      <c r="N230" s="130">
        <f t="shared" si="113"/>
        <v>7900.9759347989757</v>
      </c>
      <c r="O230" s="132">
        <f t="shared" si="114"/>
        <v>99.090452762898522</v>
      </c>
      <c r="P230" s="477">
        <v>449400</v>
      </c>
      <c r="Q230" s="477">
        <v>81440</v>
      </c>
      <c r="R230" s="130">
        <f>AVERAGE(P230:Q230)</f>
        <v>265420</v>
      </c>
      <c r="S230" s="133">
        <f t="shared" si="117"/>
        <v>312.38745365738833</v>
      </c>
      <c r="T230" s="427">
        <v>105</v>
      </c>
      <c r="U230" s="133">
        <v>101.57099573602618</v>
      </c>
      <c r="V230" s="133">
        <v>102.34937970394823</v>
      </c>
      <c r="W230" s="113">
        <v>42758</v>
      </c>
      <c r="X230" s="134">
        <v>0.3</v>
      </c>
      <c r="Y230" s="135">
        <f>0.3*23/31+0.3*8/31</f>
        <v>0.3</v>
      </c>
      <c r="Z230" s="137">
        <v>18.058252427184467</v>
      </c>
    </row>
    <row r="231" spans="2:26" s="313" customFormat="1" ht="12" hidden="1" customHeight="1">
      <c r="B231" s="265" t="s">
        <v>147</v>
      </c>
      <c r="C231" s="270" t="s">
        <v>147</v>
      </c>
      <c r="D231" s="421">
        <v>101.1</v>
      </c>
      <c r="E231" s="420">
        <v>100.1</v>
      </c>
      <c r="F231" s="420">
        <v>98.8</v>
      </c>
      <c r="G231" s="130">
        <v>308865</v>
      </c>
      <c r="H231" s="400">
        <v>165.7</v>
      </c>
      <c r="I231" s="401">
        <f t="shared" si="109"/>
        <v>1864.0012070006037</v>
      </c>
      <c r="J231" s="401">
        <f t="shared" si="110"/>
        <v>2321.6318219255286</v>
      </c>
      <c r="K231" s="394">
        <f t="shared" si="111"/>
        <v>101.58596307813565</v>
      </c>
      <c r="L231" s="401">
        <f t="shared" ref="L231:M231" si="121">AVERAGE(L195:L230)</f>
        <v>8634.3298110929991</v>
      </c>
      <c r="M231" s="401">
        <f t="shared" si="121"/>
        <v>6529.9690061074398</v>
      </c>
      <c r="N231" s="401">
        <f t="shared" si="113"/>
        <v>7900.9770067301624</v>
      </c>
      <c r="O231" s="402">
        <f t="shared" si="114"/>
        <v>99.090466206572756</v>
      </c>
      <c r="P231" s="477">
        <v>471800</v>
      </c>
      <c r="Q231" s="477">
        <v>94860</v>
      </c>
      <c r="R231" s="401">
        <f>AVERAGE(P231:Q231)</f>
        <v>283330</v>
      </c>
      <c r="S231" s="394">
        <f t="shared" si="117"/>
        <v>333.46672159124347</v>
      </c>
      <c r="T231" s="481">
        <v>105.3</v>
      </c>
      <c r="U231" s="133">
        <v>101.58596307813565</v>
      </c>
      <c r="V231" s="133">
        <v>102.42904945939885</v>
      </c>
      <c r="W231" s="113">
        <v>42786</v>
      </c>
      <c r="X231" s="134">
        <v>0.4</v>
      </c>
      <c r="Y231" s="312">
        <v>0.32857142857142857</v>
      </c>
      <c r="Z231" s="163">
        <v>19.778085991678225</v>
      </c>
    </row>
    <row r="232" spans="2:26" customFormat="1" ht="12" hidden="1" customHeight="1">
      <c r="B232" s="265" t="s">
        <v>168</v>
      </c>
      <c r="C232" s="270" t="s">
        <v>168</v>
      </c>
      <c r="D232" s="421">
        <v>101.2</v>
      </c>
      <c r="E232" s="420">
        <v>100.1</v>
      </c>
      <c r="F232" s="420">
        <v>98.9</v>
      </c>
      <c r="G232" s="130">
        <v>319427</v>
      </c>
      <c r="H232" s="400">
        <v>164.9</v>
      </c>
      <c r="I232" s="401">
        <f t="shared" si="109"/>
        <v>1937.0952092177076</v>
      </c>
      <c r="J232" s="401">
        <f t="shared" si="110"/>
        <v>2324.6647759632083</v>
      </c>
      <c r="K232" s="394">
        <f t="shared" si="111"/>
        <v>101.7186738525055</v>
      </c>
      <c r="L232" s="401">
        <f t="shared" ref="L232:M232" si="122">AVERAGE(L196:L231)</f>
        <v>8634.3322138956592</v>
      </c>
      <c r="M232" s="401">
        <f t="shared" si="122"/>
        <v>6529.9681694296705</v>
      </c>
      <c r="N232" s="401">
        <f t="shared" si="113"/>
        <v>7900.9782805999648</v>
      </c>
      <c r="O232" s="402">
        <f t="shared" si="114"/>
        <v>99.090482182869422</v>
      </c>
      <c r="P232" s="477">
        <v>471600</v>
      </c>
      <c r="Q232" s="477">
        <v>105500</v>
      </c>
      <c r="R232" s="401">
        <f>AVERAGE(P232:Q232)</f>
        <v>288550</v>
      </c>
      <c r="S232" s="394">
        <f t="shared" si="117"/>
        <v>339.6104278232213</v>
      </c>
      <c r="T232" s="427">
        <v>105.4</v>
      </c>
      <c r="U232" s="133">
        <v>101.7186738525055</v>
      </c>
      <c r="V232" s="133">
        <v>102.55433488798676</v>
      </c>
      <c r="W232" s="113">
        <v>42815</v>
      </c>
      <c r="X232" s="134">
        <v>0.3</v>
      </c>
      <c r="Y232" s="312">
        <v>0.36451612903225805</v>
      </c>
      <c r="Z232" s="163">
        <v>21.941747572815533</v>
      </c>
    </row>
    <row r="233" spans="2:26" s="313" customFormat="1" ht="12" hidden="1" customHeight="1">
      <c r="B233" s="265" t="s">
        <v>149</v>
      </c>
      <c r="C233" s="270" t="s">
        <v>149</v>
      </c>
      <c r="D233" s="421">
        <v>101.3</v>
      </c>
      <c r="E233" s="420">
        <v>100.2</v>
      </c>
      <c r="F233" s="420">
        <v>99.1</v>
      </c>
      <c r="G233" s="130">
        <v>317831</v>
      </c>
      <c r="H233" s="400">
        <v>170.2</v>
      </c>
      <c r="I233" s="401">
        <f t="shared" si="109"/>
        <v>1867.3971797884842</v>
      </c>
      <c r="J233" s="401">
        <f t="shared" si="110"/>
        <v>2326.5395409455818</v>
      </c>
      <c r="K233" s="394">
        <f t="shared" si="111"/>
        <v>101.80070658675776</v>
      </c>
      <c r="L233" s="401">
        <f t="shared" ref="L233:M233" si="123">AVERAGE(L197:L232)</f>
        <v>8634.3344865591534</v>
      </c>
      <c r="M233" s="401">
        <f t="shared" si="123"/>
        <v>6529.9676877261372</v>
      </c>
      <c r="N233" s="401">
        <f t="shared" si="113"/>
        <v>7900.9795933887181</v>
      </c>
      <c r="O233" s="402">
        <f t="shared" si="114"/>
        <v>99.090498647269897</v>
      </c>
      <c r="P233" s="477">
        <v>485200</v>
      </c>
      <c r="Q233" s="477">
        <v>112500</v>
      </c>
      <c r="R233" s="401">
        <f t="shared" ref="R233:R241" si="124">AVERAGE(P233:Q233)</f>
        <v>298850</v>
      </c>
      <c r="S233" s="394">
        <f t="shared" si="117"/>
        <v>351.7330665568175</v>
      </c>
      <c r="T233" s="481">
        <v>105.7</v>
      </c>
      <c r="U233" s="133">
        <v>101.80070658675776</v>
      </c>
      <c r="V233" s="133">
        <v>102.68584619156374</v>
      </c>
      <c r="W233" s="113">
        <v>42844</v>
      </c>
      <c r="X233" s="134">
        <v>0.3</v>
      </c>
      <c r="Y233" s="312">
        <v>0.3</v>
      </c>
      <c r="Z233" s="163">
        <v>18.058252427184467</v>
      </c>
    </row>
    <row r="234" spans="2:26" s="313" customFormat="1" ht="12" hidden="1" customHeight="1">
      <c r="B234" s="265" t="s">
        <v>160</v>
      </c>
      <c r="C234" s="270" t="s">
        <v>160</v>
      </c>
      <c r="D234" s="421">
        <v>101.1</v>
      </c>
      <c r="E234" s="420">
        <v>100.2</v>
      </c>
      <c r="F234" s="420">
        <v>99.1</v>
      </c>
      <c r="G234" s="130">
        <v>309187</v>
      </c>
      <c r="H234" s="400">
        <v>152.5</v>
      </c>
      <c r="I234" s="401">
        <f t="shared" si="109"/>
        <v>2027.455737704918</v>
      </c>
      <c r="J234" s="401">
        <f t="shared" si="110"/>
        <v>2325.5342391588642</v>
      </c>
      <c r="K234" s="394">
        <f t="shared" si="111"/>
        <v>101.75671832418165</v>
      </c>
      <c r="L234" s="401">
        <f t="shared" ref="L234:M234" si="125">AVERAGE(L198:L233)</f>
        <v>8634.3364498170195</v>
      </c>
      <c r="M234" s="401">
        <f t="shared" si="125"/>
        <v>6529.967527701071</v>
      </c>
      <c r="N234" s="401">
        <f>($L$13*L234+$M$13*M234)/100</f>
        <v>7900.9808166995699</v>
      </c>
      <c r="O234" s="402">
        <f t="shared" si="114"/>
        <v>99.090513989479163</v>
      </c>
      <c r="P234" s="477">
        <v>479600</v>
      </c>
      <c r="Q234" s="477">
        <v>116400</v>
      </c>
      <c r="R234" s="401">
        <f t="shared" si="124"/>
        <v>298000</v>
      </c>
      <c r="S234" s="394">
        <f t="shared" si="117"/>
        <v>350.73265462249162</v>
      </c>
      <c r="T234" s="427">
        <v>104.1</v>
      </c>
      <c r="U234" s="133">
        <v>101.75671832418165</v>
      </c>
      <c r="V234" s="133">
        <v>102.28864326459241</v>
      </c>
      <c r="W234" s="113">
        <v>42879</v>
      </c>
      <c r="X234" s="134">
        <v>0.3</v>
      </c>
      <c r="Y234" s="312">
        <v>0.3</v>
      </c>
      <c r="Z234" s="163">
        <v>18.058252427184467</v>
      </c>
    </row>
    <row r="235" spans="2:26" customFormat="1" ht="12" hidden="1" customHeight="1">
      <c r="B235" s="265" t="s">
        <v>161</v>
      </c>
      <c r="C235" s="270" t="s">
        <v>161</v>
      </c>
      <c r="D235" s="421">
        <v>101.1</v>
      </c>
      <c r="E235" s="420">
        <v>100.2</v>
      </c>
      <c r="F235" s="420">
        <v>98.9</v>
      </c>
      <c r="G235" s="130">
        <v>495505</v>
      </c>
      <c r="H235" s="400">
        <v>170.9</v>
      </c>
      <c r="I235" s="401">
        <f t="shared" si="109"/>
        <v>2899.3856056173199</v>
      </c>
      <c r="J235" s="401">
        <f t="shared" si="110"/>
        <v>2327.3843580055654</v>
      </c>
      <c r="K235" s="394">
        <f>J235/$J$85*100</f>
        <v>101.83767263531583</v>
      </c>
      <c r="L235" s="401">
        <f>AVERAGE(L199:L234)</f>
        <v>8634.3380390556467</v>
      </c>
      <c r="M235" s="401">
        <f>AVERAGE(M199:M234)</f>
        <v>6529.9675798129674</v>
      </c>
      <c r="N235" s="401">
        <f>($L$13*L235+$M$13*M235)/100</f>
        <v>7900.9818702619032</v>
      </c>
      <c r="O235" s="402">
        <f>N235/$N$85*100</f>
        <v>99.090527202779583</v>
      </c>
      <c r="P235" s="477">
        <v>480100</v>
      </c>
      <c r="Q235" s="477">
        <v>130000</v>
      </c>
      <c r="R235" s="401">
        <f t="shared" si="124"/>
        <v>305050</v>
      </c>
      <c r="S235" s="394">
        <f t="shared" si="117"/>
        <v>359.03018890131227</v>
      </c>
      <c r="T235" s="427">
        <v>105.5</v>
      </c>
      <c r="U235" s="394">
        <v>101.83767263531583</v>
      </c>
      <c r="V235" s="133">
        <v>102.66902094709913</v>
      </c>
      <c r="W235" s="113">
        <v>42905</v>
      </c>
      <c r="X235" s="134">
        <v>0.3</v>
      </c>
      <c r="Y235" s="135">
        <v>0.3</v>
      </c>
      <c r="Z235" s="163">
        <v>18.058252427184467</v>
      </c>
    </row>
    <row r="236" spans="2:26" s="313" customFormat="1" ht="12" hidden="1" customHeight="1">
      <c r="B236" s="265" t="s">
        <v>152</v>
      </c>
      <c r="C236" s="270" t="s">
        <v>152</v>
      </c>
      <c r="D236" s="421">
        <v>101.2</v>
      </c>
      <c r="E236" s="420">
        <v>100.2</v>
      </c>
      <c r="F236" s="420">
        <v>98.7</v>
      </c>
      <c r="G236" s="130">
        <v>530683</v>
      </c>
      <c r="H236" s="400">
        <v>168.1</v>
      </c>
      <c r="I236" s="401">
        <f t="shared" si="109"/>
        <v>3156.9482450922073</v>
      </c>
      <c r="J236" s="401">
        <f t="shared" si="110"/>
        <v>2329.3097992111971</v>
      </c>
      <c r="K236" s="394">
        <f t="shared" ref="K236:K246" si="126">J236/$J$85*100</f>
        <v>101.9219227723863</v>
      </c>
      <c r="L236" s="401">
        <f t="shared" ref="L236:M236" si="127">AVERAGE(L200:L235)</f>
        <v>8634.339385743453</v>
      </c>
      <c r="M236" s="401">
        <f t="shared" si="127"/>
        <v>6529.9677142883311</v>
      </c>
      <c r="N236" s="401">
        <f t="shared" ref="N236:N245" si="128">($L$13*L236+$M$13*M236)/100</f>
        <v>7900.9827945034285</v>
      </c>
      <c r="O236" s="402">
        <f t="shared" ref="O236:O246" si="129">N236/$N$85*100</f>
        <v>99.09053879419713</v>
      </c>
      <c r="P236" s="477">
        <v>485700</v>
      </c>
      <c r="Q236" s="477">
        <v>118600</v>
      </c>
      <c r="R236" s="401">
        <f t="shared" si="124"/>
        <v>302150</v>
      </c>
      <c r="S236" s="394">
        <f t="shared" si="117"/>
        <v>355.6170187724357</v>
      </c>
      <c r="T236" s="427">
        <v>105.7</v>
      </c>
      <c r="U236" s="133">
        <v>101.9219227723863</v>
      </c>
      <c r="V236" s="133">
        <v>102.77954630305459</v>
      </c>
      <c r="W236" s="113">
        <v>42936</v>
      </c>
      <c r="X236" s="134">
        <v>0.3</v>
      </c>
      <c r="Y236" s="135">
        <v>0.3</v>
      </c>
      <c r="Z236" s="163">
        <f t="shared" ref="Z236:Z299" si="130">Y236/$Y$85*100</f>
        <v>18.058252427184467</v>
      </c>
    </row>
    <row r="237" spans="2:26" customFormat="1" ht="12" hidden="1" customHeight="1">
      <c r="B237" s="265" t="s">
        <v>356</v>
      </c>
      <c r="C237" s="270" t="s">
        <v>356</v>
      </c>
      <c r="D237" s="421">
        <v>101.2</v>
      </c>
      <c r="E237" s="420">
        <v>100.2</v>
      </c>
      <c r="F237" s="420">
        <v>98.6</v>
      </c>
      <c r="G237" s="130">
        <v>319884</v>
      </c>
      <c r="H237" s="400">
        <v>154.4</v>
      </c>
      <c r="I237" s="401">
        <f t="shared" ref="I237:I248" si="131">G237/H237</f>
        <v>2071.7875647668393</v>
      </c>
      <c r="J237" s="401">
        <f t="shared" ref="J237:J248" si="132">AVERAGE(I226:I237)</f>
        <v>2330.1549109942739</v>
      </c>
      <c r="K237" s="394">
        <f t="shared" si="126"/>
        <v>101.95890171692943</v>
      </c>
      <c r="L237" s="401">
        <f t="shared" ref="L237:M237" si="133">AVERAGE(L201:L236)</f>
        <v>8634.340637657202</v>
      </c>
      <c r="M237" s="401">
        <f t="shared" si="133"/>
        <v>6529.9677972698983</v>
      </c>
      <c r="N237" s="401">
        <f t="shared" si="128"/>
        <v>7900.9836390537212</v>
      </c>
      <c r="O237" s="402">
        <f t="shared" si="129"/>
        <v>99.090549386163445</v>
      </c>
      <c r="P237" s="477">
        <v>457900</v>
      </c>
      <c r="Q237" s="477">
        <v>102200</v>
      </c>
      <c r="R237" s="401">
        <f t="shared" si="124"/>
        <v>280050</v>
      </c>
      <c r="S237" s="394">
        <f t="shared" si="117"/>
        <v>329.60630847996237</v>
      </c>
      <c r="T237" s="427">
        <v>105.8</v>
      </c>
      <c r="U237" s="133">
        <v>101.95890171692943</v>
      </c>
      <c r="V237" s="133">
        <v>102.83083102718645</v>
      </c>
      <c r="W237" s="113">
        <v>42968</v>
      </c>
      <c r="X237" s="134">
        <v>0.3</v>
      </c>
      <c r="Y237" s="135">
        <v>0.3</v>
      </c>
      <c r="Z237" s="163">
        <f t="shared" si="130"/>
        <v>18.058252427184467</v>
      </c>
    </row>
    <row r="238" spans="2:26" s="313" customFormat="1" ht="12" hidden="1" customHeight="1">
      <c r="B238" s="265" t="s">
        <v>164</v>
      </c>
      <c r="C238" s="270" t="s">
        <v>164</v>
      </c>
      <c r="D238" s="421">
        <v>101.2</v>
      </c>
      <c r="E238" s="420">
        <v>100.2</v>
      </c>
      <c r="F238" s="420">
        <v>98.5</v>
      </c>
      <c r="G238" s="130">
        <v>317800</v>
      </c>
      <c r="H238" s="400">
        <v>165.9</v>
      </c>
      <c r="I238" s="401">
        <f t="shared" si="131"/>
        <v>1915.6118143459914</v>
      </c>
      <c r="J238" s="401">
        <f t="shared" si="132"/>
        <v>2333.4232494749967</v>
      </c>
      <c r="K238" s="394">
        <f t="shared" si="126"/>
        <v>102.10191203798635</v>
      </c>
      <c r="L238" s="401">
        <f t="shared" ref="L238:M238" si="134">AVERAGE(L202:L237)</f>
        <v>8634.3419451678128</v>
      </c>
      <c r="M238" s="401">
        <f t="shared" si="134"/>
        <v>6529.9677630222504</v>
      </c>
      <c r="N238" s="401">
        <f t="shared" si="128"/>
        <v>7900.9844789723757</v>
      </c>
      <c r="O238" s="402">
        <f t="shared" si="129"/>
        <v>99.090559920041855</v>
      </c>
      <c r="P238" s="477">
        <v>513400</v>
      </c>
      <c r="Q238" s="477">
        <v>93120</v>
      </c>
      <c r="R238" s="401">
        <f t="shared" si="124"/>
        <v>303260</v>
      </c>
      <c r="S238" s="394">
        <f t="shared" si="117"/>
        <v>356.92343906314363</v>
      </c>
      <c r="T238" s="427">
        <v>105.8</v>
      </c>
      <c r="U238" s="133">
        <v>102.10191203798635</v>
      </c>
      <c r="V238" s="133">
        <v>102.94137800536345</v>
      </c>
      <c r="W238" s="113">
        <v>42999</v>
      </c>
      <c r="X238" s="134">
        <v>0.3</v>
      </c>
      <c r="Y238" s="135">
        <v>0.3</v>
      </c>
      <c r="Z238" s="163">
        <f t="shared" si="130"/>
        <v>18.058252427184467</v>
      </c>
    </row>
    <row r="239" spans="2:26" s="313" customFormat="1" ht="12" hidden="1" customHeight="1">
      <c r="B239" s="265" t="s">
        <v>165</v>
      </c>
      <c r="C239" s="270" t="s">
        <v>165</v>
      </c>
      <c r="D239" s="421">
        <v>101.3</v>
      </c>
      <c r="E239" s="420">
        <v>100.2</v>
      </c>
      <c r="F239" s="420">
        <v>98.4</v>
      </c>
      <c r="G239" s="130">
        <v>313616</v>
      </c>
      <c r="H239" s="400">
        <v>165.9</v>
      </c>
      <c r="I239" s="401">
        <f t="shared" si="131"/>
        <v>1890.3918022905364</v>
      </c>
      <c r="J239" s="401">
        <f t="shared" si="132"/>
        <v>2332.6892941239025</v>
      </c>
      <c r="K239" s="394">
        <f t="shared" si="126"/>
        <v>102.06979688497498</v>
      </c>
      <c r="L239" s="401">
        <f t="shared" ref="L239:M239" si="135">AVERAGE(L203:L238)</f>
        <v>8634.3435024988794</v>
      </c>
      <c r="M239" s="401">
        <f t="shared" si="135"/>
        <v>6529.9676632084665</v>
      </c>
      <c r="N239" s="401">
        <f t="shared" si="128"/>
        <v>7900.9854588017997</v>
      </c>
      <c r="O239" s="402">
        <f t="shared" si="129"/>
        <v>99.090572208617601</v>
      </c>
      <c r="P239" s="477">
        <v>463900</v>
      </c>
      <c r="Q239" s="477">
        <v>101500</v>
      </c>
      <c r="R239" s="401">
        <f t="shared" si="124"/>
        <v>282700</v>
      </c>
      <c r="S239" s="394">
        <f t="shared" ref="S239:S250" si="136">R239/$R$85*100</f>
        <v>332.7252398046254</v>
      </c>
      <c r="T239" s="427">
        <v>105.5</v>
      </c>
      <c r="U239" s="133">
        <v>102.06979688497498</v>
      </c>
      <c r="V239" s="133">
        <v>102.84845299208565</v>
      </c>
      <c r="W239" s="113">
        <v>43027</v>
      </c>
      <c r="X239" s="134">
        <v>0.3</v>
      </c>
      <c r="Y239" s="135">
        <v>0.3</v>
      </c>
      <c r="Z239" s="163">
        <f t="shared" si="130"/>
        <v>18.058252427184467</v>
      </c>
    </row>
    <row r="240" spans="2:26" s="313" customFormat="1" ht="12" hidden="1" customHeight="1">
      <c r="B240" s="265" t="s">
        <v>166</v>
      </c>
      <c r="C240" s="270" t="s">
        <v>166</v>
      </c>
      <c r="D240" s="421">
        <v>101.4</v>
      </c>
      <c r="E240" s="420">
        <v>100.2</v>
      </c>
      <c r="F240" s="420">
        <v>98.7</v>
      </c>
      <c r="G240" s="130">
        <v>331223</v>
      </c>
      <c r="H240" s="429">
        <v>170</v>
      </c>
      <c r="I240" s="430">
        <f>G240/H240</f>
        <v>1948.370588235294</v>
      </c>
      <c r="J240" s="430">
        <f>AVERAGE(I229:I240)</f>
        <v>2332.5282121911296</v>
      </c>
      <c r="K240" s="431">
        <f>J240/$J$85*100</f>
        <v>102.0627485394446</v>
      </c>
      <c r="L240" s="430">
        <f t="shared" ref="L240:M240" si="137">AVERAGE(L204:L239)</f>
        <v>8634.345326247294</v>
      </c>
      <c r="M240" s="430">
        <f t="shared" si="137"/>
        <v>6529.9676040263421</v>
      </c>
      <c r="N240" s="430">
        <f t="shared" si="128"/>
        <v>7900.9866263640752</v>
      </c>
      <c r="O240" s="432">
        <f t="shared" si="129"/>
        <v>99.090586851653526</v>
      </c>
      <c r="P240" s="478">
        <v>459100</v>
      </c>
      <c r="Q240" s="478">
        <v>114000</v>
      </c>
      <c r="R240" s="430">
        <f t="shared" si="124"/>
        <v>286550</v>
      </c>
      <c r="S240" s="431">
        <f t="shared" si="136"/>
        <v>337.25651738951331</v>
      </c>
      <c r="T240" s="483">
        <v>105.7</v>
      </c>
      <c r="U240" s="316">
        <v>102.0627485394446</v>
      </c>
      <c r="V240" s="316">
        <v>102.88840462099068</v>
      </c>
      <c r="W240" s="433">
        <v>43059</v>
      </c>
      <c r="X240" s="434">
        <v>0.3</v>
      </c>
      <c r="Y240" s="435">
        <v>0.3</v>
      </c>
      <c r="Z240" s="436">
        <f>Y240/$Y$85*100</f>
        <v>18.058252427184467</v>
      </c>
    </row>
    <row r="241" spans="2:26" customFormat="1" ht="12" hidden="1" customHeight="1">
      <c r="B241" s="395" t="s">
        <v>167</v>
      </c>
      <c r="C241" s="270" t="s">
        <v>167</v>
      </c>
      <c r="D241" s="475">
        <v>101.7</v>
      </c>
      <c r="E241" s="420">
        <v>100.2</v>
      </c>
      <c r="F241" s="420">
        <v>99.1</v>
      </c>
      <c r="G241" s="130">
        <v>721125</v>
      </c>
      <c r="H241" s="400">
        <v>168</v>
      </c>
      <c r="I241" s="401">
        <f t="shared" si="131"/>
        <v>4292.4107142857147</v>
      </c>
      <c r="J241" s="401">
        <f t="shared" si="132"/>
        <v>2335.6110913771831</v>
      </c>
      <c r="K241" s="394">
        <f t="shared" si="126"/>
        <v>102.19764385239264</v>
      </c>
      <c r="L241" s="401">
        <f t="shared" ref="L241:M241" si="138">AVERAGE(L205:L240)</f>
        <v>8634.3472448731554</v>
      </c>
      <c r="M241" s="401">
        <f t="shared" si="138"/>
        <v>6529.9676746198729</v>
      </c>
      <c r="N241" s="401">
        <f t="shared" si="128"/>
        <v>7900.9879009655433</v>
      </c>
      <c r="O241" s="402">
        <f t="shared" si="129"/>
        <v>99.090602837126411</v>
      </c>
      <c r="P241" s="477">
        <v>452100</v>
      </c>
      <c r="Q241" s="477">
        <v>119400</v>
      </c>
      <c r="R241" s="401">
        <f t="shared" si="124"/>
        <v>285750</v>
      </c>
      <c r="S241" s="394">
        <f t="shared" si="136"/>
        <v>336.31495321603012</v>
      </c>
      <c r="T241" s="427">
        <v>105.5</v>
      </c>
      <c r="U241" s="133">
        <v>102.19764385239264</v>
      </c>
      <c r="V241" s="133">
        <v>102.94727869789951</v>
      </c>
      <c r="W241" s="113">
        <v>43089</v>
      </c>
      <c r="X241" s="134">
        <v>0.3</v>
      </c>
      <c r="Y241" s="312">
        <v>0.3</v>
      </c>
      <c r="Z241" s="436">
        <f t="shared" si="130"/>
        <v>18.058252427184467</v>
      </c>
    </row>
    <row r="242" spans="2:26" ht="12" hidden="1" customHeight="1">
      <c r="B242" s="439" t="s">
        <v>383</v>
      </c>
      <c r="C242" s="272" t="s">
        <v>384</v>
      </c>
      <c r="D242" s="441">
        <v>101.7</v>
      </c>
      <c r="E242" s="139">
        <v>100.2</v>
      </c>
      <c r="F242" s="139">
        <v>99.5</v>
      </c>
      <c r="G242" s="140">
        <v>316377</v>
      </c>
      <c r="H242" s="139">
        <v>147.69999999999999</v>
      </c>
      <c r="I242" s="140">
        <f t="shared" si="131"/>
        <v>2142.024373730535</v>
      </c>
      <c r="J242" s="140">
        <f t="shared" si="132"/>
        <v>2334.4066701730126</v>
      </c>
      <c r="K242" s="142">
        <f t="shared" si="126"/>
        <v>102.14494286560314</v>
      </c>
      <c r="L242" s="140">
        <f t="shared" ref="L242:M242" si="139">AVERAGE(L206:L241)</f>
        <v>8634.3490634962145</v>
      </c>
      <c r="M242" s="140">
        <f t="shared" si="139"/>
        <v>6529.9679536177518</v>
      </c>
      <c r="N242" s="140">
        <f t="shared" si="128"/>
        <v>7900.9891830416191</v>
      </c>
      <c r="O242" s="143">
        <f t="shared" si="129"/>
        <v>99.090618916342436</v>
      </c>
      <c r="P242" s="140">
        <v>420800</v>
      </c>
      <c r="Q242" s="140">
        <v>116000</v>
      </c>
      <c r="R242" s="140">
        <f>AVERAGE(P242:Q242)</f>
        <v>268400</v>
      </c>
      <c r="S242" s="142">
        <f t="shared" si="136"/>
        <v>315.89478020361327</v>
      </c>
      <c r="T242" s="440">
        <v>97.1</v>
      </c>
      <c r="U242" s="142">
        <v>102.14494286560314</v>
      </c>
      <c r="V242" s="142">
        <v>100.99974083511123</v>
      </c>
      <c r="W242" s="289">
        <v>43125</v>
      </c>
      <c r="X242" s="145">
        <v>0.3</v>
      </c>
      <c r="Y242" s="442">
        <v>0.3</v>
      </c>
      <c r="Z242" s="319">
        <f t="shared" si="130"/>
        <v>18.058252427184467</v>
      </c>
    </row>
    <row r="243" spans="2:26" ht="12" hidden="1" customHeight="1">
      <c r="B243" s="265" t="s">
        <v>147</v>
      </c>
      <c r="C243" s="270" t="s">
        <v>147</v>
      </c>
      <c r="D243" s="288">
        <v>101.8</v>
      </c>
      <c r="E243" s="129">
        <v>100.3</v>
      </c>
      <c r="F243" s="129">
        <v>99.6</v>
      </c>
      <c r="G243" s="130">
        <v>312470</v>
      </c>
      <c r="H243" s="400">
        <v>163.80000000000001</v>
      </c>
      <c r="I243" s="401">
        <f t="shared" si="131"/>
        <v>1907.6312576312575</v>
      </c>
      <c r="J243" s="401">
        <f t="shared" si="132"/>
        <v>2338.0425077255672</v>
      </c>
      <c r="K243" s="394">
        <f t="shared" si="126"/>
        <v>102.30403357752557</v>
      </c>
      <c r="L243" s="401">
        <f t="shared" ref="L243:M243" si="140">AVERAGE(L207:L242)</f>
        <v>8634.3506234421257</v>
      </c>
      <c r="M243" s="401">
        <f t="shared" si="140"/>
        <v>6529.9684765963721</v>
      </c>
      <c r="N243" s="401">
        <f t="shared" si="128"/>
        <v>7900.9903816127735</v>
      </c>
      <c r="O243" s="402">
        <f t="shared" si="129"/>
        <v>99.090633948277642</v>
      </c>
      <c r="P243" s="401">
        <v>431400</v>
      </c>
      <c r="Q243" s="401">
        <v>129900</v>
      </c>
      <c r="R243" s="401">
        <f>AVERAGE(P243:Q243)</f>
        <v>280650</v>
      </c>
      <c r="S243" s="394">
        <f t="shared" si="136"/>
        <v>330.31248161007471</v>
      </c>
      <c r="T243" s="403">
        <v>97.3</v>
      </c>
      <c r="U243" s="133">
        <v>102.30403357752557</v>
      </c>
      <c r="V243" s="133">
        <v>101.16811795542726</v>
      </c>
      <c r="W243" s="113">
        <v>43151</v>
      </c>
      <c r="X243" s="134">
        <v>0.3</v>
      </c>
      <c r="Y243" s="312">
        <v>0.3</v>
      </c>
      <c r="Z243" s="163">
        <f t="shared" si="130"/>
        <v>18.058252427184467</v>
      </c>
    </row>
    <row r="244" spans="2:26" ht="12" hidden="1" customHeight="1">
      <c r="B244" s="265" t="s">
        <v>168</v>
      </c>
      <c r="C244" s="270" t="s">
        <v>168</v>
      </c>
      <c r="D244" s="288">
        <v>101.8</v>
      </c>
      <c r="E244" s="129">
        <v>100.3</v>
      </c>
      <c r="F244" s="129">
        <v>99.7</v>
      </c>
      <c r="G244" s="130">
        <v>330566</v>
      </c>
      <c r="H244" s="400">
        <v>164.9</v>
      </c>
      <c r="I244" s="401">
        <f t="shared" si="131"/>
        <v>2004.6452395391145</v>
      </c>
      <c r="J244" s="401">
        <f t="shared" si="132"/>
        <v>2343.6716769190175</v>
      </c>
      <c r="K244" s="394">
        <f t="shared" si="126"/>
        <v>102.55034505915066</v>
      </c>
      <c r="L244" s="401">
        <f t="shared" ref="L244:M244" si="141">AVERAGE(L208:L243)</f>
        <v>8634.351672024668</v>
      </c>
      <c r="M244" s="401">
        <f t="shared" si="141"/>
        <v>6529.9692416601247</v>
      </c>
      <c r="N244" s="401">
        <f t="shared" si="128"/>
        <v>7900.9913313912994</v>
      </c>
      <c r="O244" s="402">
        <f t="shared" si="129"/>
        <v>99.090645859968674</v>
      </c>
      <c r="P244" s="401">
        <v>448100</v>
      </c>
      <c r="Q244" s="401">
        <v>148800</v>
      </c>
      <c r="R244" s="401">
        <f>AVERAGE(P244:Q244)</f>
        <v>298450</v>
      </c>
      <c r="S244" s="394">
        <f t="shared" si="136"/>
        <v>351.26228447007588</v>
      </c>
      <c r="T244" s="404">
        <v>96.3</v>
      </c>
      <c r="U244" s="133">
        <v>102.55034505915066</v>
      </c>
      <c r="V244" s="133">
        <v>101.13151673072345</v>
      </c>
      <c r="W244" s="113">
        <v>43178</v>
      </c>
      <c r="X244" s="134">
        <v>0.3</v>
      </c>
      <c r="Y244" s="312">
        <v>0.3</v>
      </c>
      <c r="Z244" s="163">
        <f t="shared" si="130"/>
        <v>18.058252427184467</v>
      </c>
    </row>
    <row r="245" spans="2:26" s="88" customFormat="1" ht="12" hidden="1" customHeight="1">
      <c r="B245" s="265" t="s">
        <v>149</v>
      </c>
      <c r="C245" s="270" t="s">
        <v>149</v>
      </c>
      <c r="D245" s="288">
        <v>102.1</v>
      </c>
      <c r="E245" s="129">
        <v>100.3</v>
      </c>
      <c r="F245" s="129">
        <v>100.1</v>
      </c>
      <c r="G245" s="130">
        <v>323133</v>
      </c>
      <c r="H245" s="400">
        <v>169.3</v>
      </c>
      <c r="I245" s="401">
        <f t="shared" si="131"/>
        <v>1908.6414648552864</v>
      </c>
      <c r="J245" s="401">
        <f t="shared" si="132"/>
        <v>2347.1087006745843</v>
      </c>
      <c r="K245" s="394">
        <f t="shared" si="126"/>
        <v>102.70073641967315</v>
      </c>
      <c r="L245" s="401">
        <f t="shared" ref="L245:M245" si="142">AVERAGE(L209:L244)</f>
        <v>8634.3520219111197</v>
      </c>
      <c r="M245" s="401">
        <f t="shared" si="142"/>
        <v>6529.9702098939533</v>
      </c>
      <c r="N245" s="401">
        <f t="shared" si="128"/>
        <v>7900.9918967668355</v>
      </c>
      <c r="O245" s="402">
        <f t="shared" si="129"/>
        <v>99.090652950651929</v>
      </c>
      <c r="P245" s="401">
        <v>486300</v>
      </c>
      <c r="Q245" s="401">
        <v>157600</v>
      </c>
      <c r="R245" s="401">
        <f t="shared" ref="R245:R250" si="143">AVERAGE(P245:Q245)</f>
        <v>321950</v>
      </c>
      <c r="S245" s="394">
        <f t="shared" si="136"/>
        <v>378.92073206614486</v>
      </c>
      <c r="T245" s="403">
        <v>96.5</v>
      </c>
      <c r="U245" s="133">
        <v>102.70073641967315</v>
      </c>
      <c r="V245" s="133">
        <v>101.29316925240734</v>
      </c>
      <c r="W245" s="113">
        <v>43208</v>
      </c>
      <c r="X245" s="134">
        <v>0.3</v>
      </c>
      <c r="Y245" s="312">
        <v>0.3</v>
      </c>
      <c r="Z245" s="163">
        <f t="shared" si="130"/>
        <v>18.058252427184467</v>
      </c>
    </row>
    <row r="246" spans="2:26" s="88" customFormat="1" ht="12" hidden="1" customHeight="1">
      <c r="B246" s="265" t="s">
        <v>160</v>
      </c>
      <c r="C246" s="270" t="s">
        <v>160</v>
      </c>
      <c r="D246" s="288">
        <v>102.4</v>
      </c>
      <c r="E246" s="129">
        <v>100.2</v>
      </c>
      <c r="F246" s="129">
        <v>100.2</v>
      </c>
      <c r="G246" s="130">
        <v>313753</v>
      </c>
      <c r="H246" s="400">
        <v>155.4</v>
      </c>
      <c r="I246" s="401">
        <f t="shared" si="131"/>
        <v>2019.002574002574</v>
      </c>
      <c r="J246" s="401">
        <f t="shared" si="132"/>
        <v>2346.4042703660557</v>
      </c>
      <c r="K246" s="394">
        <f t="shared" si="126"/>
        <v>102.66991317257708</v>
      </c>
      <c r="L246" s="401">
        <f t="shared" ref="L246:M246" si="144">AVERAGE(L210:L245)</f>
        <v>8634.3515750100851</v>
      </c>
      <c r="M246" s="401">
        <f t="shared" si="144"/>
        <v>6529.971315568584</v>
      </c>
      <c r="N246" s="401">
        <f>($L$13*L246+$M$13*M246)/100</f>
        <v>7900.9919909259243</v>
      </c>
      <c r="O246" s="402">
        <f t="shared" si="129"/>
        <v>99.090654131552483</v>
      </c>
      <c r="P246" s="401">
        <v>440000</v>
      </c>
      <c r="Q246" s="401">
        <v>152200</v>
      </c>
      <c r="R246" s="401">
        <f t="shared" si="143"/>
        <v>296100</v>
      </c>
      <c r="S246" s="394">
        <f t="shared" si="136"/>
        <v>348.49643971046902</v>
      </c>
      <c r="T246" s="404">
        <v>97.4</v>
      </c>
      <c r="U246" s="133">
        <v>102.66991317257708</v>
      </c>
      <c r="V246" s="133">
        <v>101.47364288240207</v>
      </c>
      <c r="W246" s="113">
        <v>43243</v>
      </c>
      <c r="X246" s="134">
        <v>0.3</v>
      </c>
      <c r="Y246" s="312">
        <v>0.3</v>
      </c>
      <c r="Z246" s="163">
        <f t="shared" si="130"/>
        <v>18.058252427184467</v>
      </c>
    </row>
    <row r="247" spans="2:26" s="88" customFormat="1" ht="12" hidden="1" customHeight="1">
      <c r="B247" s="265" t="s">
        <v>161</v>
      </c>
      <c r="C247" s="270" t="s">
        <v>161</v>
      </c>
      <c r="D247" s="288">
        <v>102.6</v>
      </c>
      <c r="E247" s="129">
        <v>100.3</v>
      </c>
      <c r="F247" s="129">
        <v>100.4</v>
      </c>
      <c r="G247" s="130">
        <v>515753</v>
      </c>
      <c r="H247" s="400">
        <v>171.4</v>
      </c>
      <c r="I247" s="401">
        <f t="shared" si="131"/>
        <v>3009.0606767794629</v>
      </c>
      <c r="J247" s="401">
        <f t="shared" si="132"/>
        <v>2355.5438596295676</v>
      </c>
      <c r="K247" s="394">
        <f>J247/$J$85*100</f>
        <v>103.06982756412879</v>
      </c>
      <c r="L247" s="401">
        <f>AVERAGE(L211:L246)</f>
        <v>8634.3503695275213</v>
      </c>
      <c r="M247" s="401">
        <f>AVERAGE(M211:M246)</f>
        <v>6529.9724306161988</v>
      </c>
      <c r="N247" s="401">
        <f>($L$13*L247+$M$13*M247)/100</f>
        <v>7900.991594129453</v>
      </c>
      <c r="O247" s="402">
        <f>N247/$N$85*100</f>
        <v>99.090649155111294</v>
      </c>
      <c r="P247" s="401">
        <v>455500</v>
      </c>
      <c r="Q247" s="401">
        <v>145100</v>
      </c>
      <c r="R247" s="401">
        <f t="shared" si="143"/>
        <v>300300</v>
      </c>
      <c r="S247" s="394">
        <f t="shared" si="136"/>
        <v>353.43965162125579</v>
      </c>
      <c r="T247" s="404">
        <v>97.8</v>
      </c>
      <c r="U247" s="394">
        <v>103.06982756412879</v>
      </c>
      <c r="V247" s="133">
        <v>101.87357670707155</v>
      </c>
      <c r="W247" s="113">
        <v>43271</v>
      </c>
      <c r="X247" s="134">
        <v>0.3</v>
      </c>
      <c r="Y247" s="312">
        <v>0.3</v>
      </c>
      <c r="Z247" s="163">
        <f t="shared" si="130"/>
        <v>18.058252427184467</v>
      </c>
    </row>
    <row r="248" spans="2:26" s="88" customFormat="1" ht="12" hidden="1" customHeight="1">
      <c r="B248" s="265" t="s">
        <v>152</v>
      </c>
      <c r="C248" s="270" t="s">
        <v>152</v>
      </c>
      <c r="D248" s="288">
        <v>102.6</v>
      </c>
      <c r="E248" s="129">
        <v>100.2</v>
      </c>
      <c r="F248" s="129">
        <v>101.1</v>
      </c>
      <c r="G248" s="130">
        <v>538793</v>
      </c>
      <c r="H248" s="400">
        <v>167.7</v>
      </c>
      <c r="I248" s="401">
        <f t="shared" si="131"/>
        <v>3212.8384019081695</v>
      </c>
      <c r="J248" s="401">
        <f t="shared" si="132"/>
        <v>2360.2013726975642</v>
      </c>
      <c r="K248" s="394">
        <f t="shared" ref="K248" si="145">J248/$J$85*100</f>
        <v>103.27362299202272</v>
      </c>
      <c r="L248" s="401">
        <f t="shared" ref="L248:M248" si="146">AVERAGE(L212:L247)</f>
        <v>8634.3486455159327</v>
      </c>
      <c r="M248" s="401">
        <f t="shared" si="146"/>
        <v>6529.9734133949951</v>
      </c>
      <c r="N248" s="401">
        <f t="shared" ref="N248:N250" si="147">($L$13*L248+$M$13*M248)/100</f>
        <v>7900.990813412528</v>
      </c>
      <c r="O248" s="402">
        <f t="shared" ref="O248:O250" si="148">N248/$N$85*100</f>
        <v>99.090639363714104</v>
      </c>
      <c r="P248" s="401">
        <v>455300</v>
      </c>
      <c r="Q248" s="401">
        <v>132200</v>
      </c>
      <c r="R248" s="401">
        <f t="shared" si="143"/>
        <v>293750</v>
      </c>
      <c r="S248" s="394">
        <f t="shared" si="136"/>
        <v>345.73059495086216</v>
      </c>
      <c r="T248" s="404">
        <v>97.8</v>
      </c>
      <c r="U248" s="133">
        <v>103.27362299202272</v>
      </c>
      <c r="V248" s="133">
        <v>102.03111057283357</v>
      </c>
      <c r="W248" s="113">
        <v>43300</v>
      </c>
      <c r="X248" s="134">
        <v>0.3</v>
      </c>
      <c r="Y248" s="312">
        <v>0.3</v>
      </c>
      <c r="Z248" s="163">
        <f t="shared" si="130"/>
        <v>18.058252427184467</v>
      </c>
    </row>
    <row r="249" spans="2:26" s="88" customFormat="1" ht="12" hidden="1" customHeight="1">
      <c r="B249" s="265" t="s">
        <v>356</v>
      </c>
      <c r="C249" s="270" t="s">
        <v>356</v>
      </c>
      <c r="D249" s="288">
        <v>102.6</v>
      </c>
      <c r="E249" s="129">
        <v>100.2</v>
      </c>
      <c r="F249" s="129">
        <v>101.2</v>
      </c>
      <c r="G249" s="130">
        <v>325298</v>
      </c>
      <c r="H249" s="400">
        <v>155.19999999999999</v>
      </c>
      <c r="I249" s="401">
        <f t="shared" ref="I249:I260" si="149">G249/H249</f>
        <v>2095.9922680412374</v>
      </c>
      <c r="J249" s="401">
        <f t="shared" ref="J249:J250" si="150">AVERAGE(I238:I249)</f>
        <v>2362.2184313037646</v>
      </c>
      <c r="K249" s="394">
        <f>J249/$J$85*100</f>
        <v>103.36188196537101</v>
      </c>
      <c r="L249" s="401">
        <f t="shared" ref="L249:M249" si="151">AVERAGE(L213:L248)</f>
        <v>8634.3466467679063</v>
      </c>
      <c r="M249" s="401">
        <f t="shared" si="151"/>
        <v>6529.9741137388191</v>
      </c>
      <c r="N249" s="401">
        <f t="shared" si="147"/>
        <v>7900.9897552762886</v>
      </c>
      <c r="O249" s="402">
        <f t="shared" si="148"/>
        <v>99.090626093049835</v>
      </c>
      <c r="P249" s="401">
        <v>429900</v>
      </c>
      <c r="Q249" s="401">
        <v>120200</v>
      </c>
      <c r="R249" s="401">
        <f t="shared" si="143"/>
        <v>275050</v>
      </c>
      <c r="S249" s="394">
        <f t="shared" si="136"/>
        <v>323.72153239569235</v>
      </c>
      <c r="T249" s="404">
        <v>98</v>
      </c>
      <c r="U249" s="133">
        <v>103.36188196537101</v>
      </c>
      <c r="V249" s="133">
        <v>102.1447347592318</v>
      </c>
      <c r="W249" s="113">
        <v>43332</v>
      </c>
      <c r="X249" s="134">
        <v>0.4</v>
      </c>
      <c r="Y249" s="312">
        <v>0.3354838709677419</v>
      </c>
      <c r="Z249" s="163">
        <f t="shared" si="130"/>
        <v>20.194174757281552</v>
      </c>
    </row>
    <row r="250" spans="2:26" s="88" customFormat="1" ht="12" hidden="1" customHeight="1">
      <c r="B250" s="265" t="s">
        <v>164</v>
      </c>
      <c r="C250" s="270" t="s">
        <v>164</v>
      </c>
      <c r="D250" s="288">
        <v>102.7</v>
      </c>
      <c r="E250" s="129">
        <v>100.2</v>
      </c>
      <c r="F250" s="129">
        <v>101.4</v>
      </c>
      <c r="G250" s="130">
        <v>318599</v>
      </c>
      <c r="H250" s="400">
        <v>161.9</v>
      </c>
      <c r="I250" s="401">
        <f t="shared" si="149"/>
        <v>1967.8752316244595</v>
      </c>
      <c r="J250" s="401">
        <f t="shared" si="150"/>
        <v>2366.5737160769709</v>
      </c>
      <c r="K250" s="394">
        <f>J250/$J$85*100</f>
        <v>103.55245300854304</v>
      </c>
      <c r="L250" s="401">
        <f t="shared" ref="L250:M250" si="152">AVERAGE(L214:L249)</f>
        <v>8634.3446289861786</v>
      </c>
      <c r="M250" s="401">
        <f t="shared" si="152"/>
        <v>6529.974451255297</v>
      </c>
      <c r="N250" s="401">
        <f t="shared" si="147"/>
        <v>7900.9885582970301</v>
      </c>
      <c r="O250" s="402">
        <f t="shared" si="148"/>
        <v>99.090611081079459</v>
      </c>
      <c r="P250" s="401">
        <v>426600</v>
      </c>
      <c r="Q250" s="401">
        <v>108100</v>
      </c>
      <c r="R250" s="401">
        <f t="shared" si="143"/>
        <v>267350</v>
      </c>
      <c r="S250" s="394">
        <f t="shared" si="136"/>
        <v>314.65897722591654</v>
      </c>
      <c r="T250" s="404">
        <v>97.3</v>
      </c>
      <c r="U250" s="133">
        <v>103.55245300854304</v>
      </c>
      <c r="V250" s="133">
        <v>102.13314617560376</v>
      </c>
      <c r="W250" s="113">
        <v>43364</v>
      </c>
      <c r="X250" s="134">
        <v>0.4</v>
      </c>
      <c r="Y250" s="312">
        <v>0.4</v>
      </c>
      <c r="Z250" s="163">
        <f t="shared" si="130"/>
        <v>24.077669902912625</v>
      </c>
    </row>
    <row r="251" spans="2:26" ht="12" hidden="1" customHeight="1">
      <c r="B251" s="265" t="s">
        <v>165</v>
      </c>
      <c r="C251" s="270" t="s">
        <v>165</v>
      </c>
      <c r="D251" s="288">
        <v>102.8</v>
      </c>
      <c r="E251" s="129">
        <v>100.3</v>
      </c>
      <c r="F251" s="129">
        <v>101.2</v>
      </c>
      <c r="G251" s="130">
        <v>317693</v>
      </c>
      <c r="H251" s="400">
        <v>165.8</v>
      </c>
      <c r="I251" s="401">
        <f t="shared" si="149"/>
        <v>1916.1218335343785</v>
      </c>
      <c r="J251" s="401">
        <f t="shared" ref="J251:J262" si="153">AVERAGE(I240:I251)</f>
        <v>2368.7178853472906</v>
      </c>
      <c r="K251" s="394">
        <f t="shared" ref="K251:K258" si="154">J251/$J$85*100</f>
        <v>103.64627387120993</v>
      </c>
      <c r="L251" s="401">
        <f t="shared" ref="L251:M251" si="155">AVERAGE(L215:L250)</f>
        <v>8634.3428879171479</v>
      </c>
      <c r="M251" s="401">
        <f t="shared" si="155"/>
        <v>6529.9744642471424</v>
      </c>
      <c r="N251" s="401">
        <f t="shared" ref="N251:N257" si="156">($L$13*L251+$M$13*M251)/100</f>
        <v>7900.9874285040978</v>
      </c>
      <c r="O251" s="402">
        <f t="shared" ref="O251:O258" si="157">N251/$N$85*100</f>
        <v>99.090596911729477</v>
      </c>
      <c r="P251" s="401">
        <v>425600</v>
      </c>
      <c r="Q251" s="401">
        <v>120400</v>
      </c>
      <c r="R251" s="401">
        <f t="shared" ref="R251:R253" si="158">AVERAGE(P251:Q251)</f>
        <v>273000</v>
      </c>
      <c r="S251" s="394">
        <f t="shared" ref="S251:S262" si="159">R251/$R$85*100</f>
        <v>321.30877420114166</v>
      </c>
      <c r="T251" s="404">
        <v>95.4</v>
      </c>
      <c r="U251" s="133">
        <v>103.64627387120993</v>
      </c>
      <c r="V251" s="133">
        <v>101.77436970244527</v>
      </c>
      <c r="W251" s="113">
        <v>43391</v>
      </c>
      <c r="X251" s="134">
        <v>0.4</v>
      </c>
      <c r="Y251" s="312">
        <v>0.4</v>
      </c>
      <c r="Z251" s="163">
        <f t="shared" si="130"/>
        <v>24.077669902912625</v>
      </c>
    </row>
    <row r="252" spans="2:26" ht="12" hidden="1" customHeight="1">
      <c r="B252" s="265" t="s">
        <v>166</v>
      </c>
      <c r="C252" s="270" t="s">
        <v>166</v>
      </c>
      <c r="D252" s="288">
        <v>102.9</v>
      </c>
      <c r="E252" s="129">
        <v>100.3</v>
      </c>
      <c r="F252" s="129">
        <v>101.6</v>
      </c>
      <c r="G252" s="130">
        <v>343866</v>
      </c>
      <c r="H252" s="400">
        <v>173.8</v>
      </c>
      <c r="I252" s="401">
        <f t="shared" si="149"/>
        <v>1978.5155350978134</v>
      </c>
      <c r="J252" s="401">
        <f t="shared" si="153"/>
        <v>2371.2299642525004</v>
      </c>
      <c r="K252" s="394">
        <f t="shared" si="154"/>
        <v>103.75619308945288</v>
      </c>
      <c r="L252" s="401">
        <f t="shared" ref="L252:M252" si="160">AVERAGE(L216:L251)</f>
        <v>8634.3415470683976</v>
      </c>
      <c r="M252" s="401">
        <f t="shared" si="160"/>
        <v>6529.9742518029761</v>
      </c>
      <c r="N252" s="401">
        <f t="shared" si="156"/>
        <v>7900.9864808952643</v>
      </c>
      <c r="O252" s="402">
        <f t="shared" si="157"/>
        <v>99.090585027249759</v>
      </c>
      <c r="P252" s="401">
        <v>386000</v>
      </c>
      <c r="Q252" s="401">
        <v>123100</v>
      </c>
      <c r="R252" s="401">
        <f t="shared" si="158"/>
        <v>254550</v>
      </c>
      <c r="S252" s="394">
        <f t="shared" si="159"/>
        <v>299.59395045018533</v>
      </c>
      <c r="T252" s="404">
        <v>96.6</v>
      </c>
      <c r="U252" s="133">
        <v>103.75619308945288</v>
      </c>
      <c r="V252" s="133">
        <v>102.13173725814708</v>
      </c>
      <c r="W252" s="113">
        <v>43788</v>
      </c>
      <c r="X252" s="134">
        <v>0.4</v>
      </c>
      <c r="Y252" s="312">
        <v>0.4</v>
      </c>
      <c r="Z252" s="163">
        <f t="shared" si="130"/>
        <v>24.077669902912625</v>
      </c>
    </row>
    <row r="253" spans="2:26" s="88" customFormat="1" ht="12" hidden="1" customHeight="1">
      <c r="B253" s="105" t="s">
        <v>167</v>
      </c>
      <c r="C253" s="271" t="s">
        <v>167</v>
      </c>
      <c r="D253" s="148">
        <v>103</v>
      </c>
      <c r="E253" s="149">
        <v>100.3</v>
      </c>
      <c r="F253" s="149">
        <v>101.6</v>
      </c>
      <c r="G253" s="150">
        <v>741397</v>
      </c>
      <c r="H253" s="516">
        <v>165</v>
      </c>
      <c r="I253" s="517">
        <f t="shared" si="149"/>
        <v>4493.3151515151512</v>
      </c>
      <c r="J253" s="517">
        <f t="shared" si="153"/>
        <v>2387.9720006882867</v>
      </c>
      <c r="K253" s="518">
        <f t="shared" si="154"/>
        <v>104.48876225875725</v>
      </c>
      <c r="L253" s="517">
        <f t="shared" ref="L253:M253" si="161">AVERAGE(L217:L252)</f>
        <v>8634.3405657793573</v>
      </c>
      <c r="M253" s="517">
        <f t="shared" si="161"/>
        <v>6529.9739029438251</v>
      </c>
      <c r="N253" s="517">
        <f t="shared" si="156"/>
        <v>7900.9857200029501</v>
      </c>
      <c r="O253" s="519">
        <f t="shared" si="157"/>
        <v>99.090575484483821</v>
      </c>
      <c r="P253" s="517">
        <v>391900</v>
      </c>
      <c r="Q253" s="517">
        <v>116800</v>
      </c>
      <c r="R253" s="517">
        <f t="shared" si="158"/>
        <v>254350</v>
      </c>
      <c r="S253" s="518">
        <f t="shared" si="159"/>
        <v>299.35855940681455</v>
      </c>
      <c r="T253" s="520">
        <v>97.4</v>
      </c>
      <c r="U253" s="152">
        <v>104.48876225875725</v>
      </c>
      <c r="V253" s="152">
        <v>102.87961322601936</v>
      </c>
      <c r="W253" s="115">
        <v>43818</v>
      </c>
      <c r="X253" s="155">
        <v>0.3</v>
      </c>
      <c r="Y253" s="397">
        <v>0.35806451612903223</v>
      </c>
      <c r="Z253" s="320">
        <f t="shared" si="130"/>
        <v>21.553398058252426</v>
      </c>
    </row>
    <row r="254" spans="2:26" s="88" customFormat="1" ht="12" hidden="1" customHeight="1">
      <c r="B254" s="439" t="s">
        <v>388</v>
      </c>
      <c r="C254" s="264" t="s">
        <v>389</v>
      </c>
      <c r="D254" s="441">
        <v>103.2</v>
      </c>
      <c r="E254" s="139">
        <v>100.3</v>
      </c>
      <c r="F254" s="139">
        <v>101.5</v>
      </c>
      <c r="G254" s="140">
        <v>320692</v>
      </c>
      <c r="H254" s="139">
        <v>143.9</v>
      </c>
      <c r="I254" s="140">
        <f t="shared" si="149"/>
        <v>2228.5753995830437</v>
      </c>
      <c r="J254" s="140">
        <f t="shared" si="153"/>
        <v>2395.1845861759957</v>
      </c>
      <c r="K254" s="142">
        <f t="shared" si="154"/>
        <v>104.80435814098658</v>
      </c>
      <c r="L254" s="140">
        <f t="shared" ref="L254:M254" si="162">AVERAGE(L218:L253)</f>
        <v>8634.3398811845727</v>
      </c>
      <c r="M254" s="140">
        <f t="shared" si="162"/>
        <v>6529.9735009714741</v>
      </c>
      <c r="N254" s="140">
        <f t="shared" si="156"/>
        <v>7900.9851338998087</v>
      </c>
      <c r="O254" s="143">
        <f t="shared" si="157"/>
        <v>99.090568133844343</v>
      </c>
      <c r="P254" s="140">
        <v>425700</v>
      </c>
      <c r="Q254" s="140">
        <v>103600</v>
      </c>
      <c r="R254" s="140">
        <f>AVERAGE(P254:Q254)</f>
        <v>264650</v>
      </c>
      <c r="S254" s="142">
        <f t="shared" si="159"/>
        <v>311.48119814041075</v>
      </c>
      <c r="T254" s="440">
        <v>97.8</v>
      </c>
      <c r="U254" s="142">
        <v>104.80435814098658</v>
      </c>
      <c r="V254" s="142">
        <v>103.21436884298262</v>
      </c>
      <c r="W254" s="289">
        <v>43124</v>
      </c>
      <c r="X254" s="145">
        <v>0.3</v>
      </c>
      <c r="Y254" s="442">
        <v>0.3</v>
      </c>
      <c r="Z254" s="319">
        <f t="shared" si="130"/>
        <v>18.058252427184467</v>
      </c>
    </row>
    <row r="255" spans="2:26" s="88" customFormat="1" ht="12" hidden="1" customHeight="1">
      <c r="B255" s="531" t="s">
        <v>390</v>
      </c>
      <c r="C255" s="262" t="s">
        <v>390</v>
      </c>
      <c r="D255" s="288">
        <v>103.4</v>
      </c>
      <c r="E255" s="129">
        <v>100.3</v>
      </c>
      <c r="F255" s="129">
        <v>101.5</v>
      </c>
      <c r="G255" s="130">
        <v>312648</v>
      </c>
      <c r="H255" s="400">
        <v>163</v>
      </c>
      <c r="I255" s="401">
        <f t="shared" si="149"/>
        <v>1918.0858895705521</v>
      </c>
      <c r="J255" s="401">
        <f t="shared" si="153"/>
        <v>2396.0558055042707</v>
      </c>
      <c r="K255" s="394">
        <f t="shared" si="154"/>
        <v>104.84247945448655</v>
      </c>
      <c r="L255" s="401">
        <f t="shared" ref="L255:M255" si="163">AVERAGE(L219:L254)</f>
        <v>8634.3394625306137</v>
      </c>
      <c r="M255" s="401">
        <f t="shared" si="163"/>
        <v>6529.9730997773058</v>
      </c>
      <c r="N255" s="401">
        <f t="shared" si="156"/>
        <v>7900.9847213304465</v>
      </c>
      <c r="O255" s="402">
        <f t="shared" si="157"/>
        <v>99.090562959586734</v>
      </c>
      <c r="P255" s="401">
        <v>443700</v>
      </c>
      <c r="Q255" s="401">
        <v>109300</v>
      </c>
      <c r="R255" s="401">
        <f>AVERAGE(P255:Q255)</f>
        <v>276500</v>
      </c>
      <c r="S255" s="394">
        <f t="shared" si="159"/>
        <v>325.42811746013064</v>
      </c>
      <c r="T255" s="403">
        <v>98.5</v>
      </c>
      <c r="U255" s="133">
        <v>104.84247945448655</v>
      </c>
      <c r="V255" s="133">
        <v>103.40273661831809</v>
      </c>
      <c r="W255" s="113">
        <v>43152</v>
      </c>
      <c r="X255" s="134">
        <v>0.2</v>
      </c>
      <c r="Y255" s="312">
        <v>0.27142857142857141</v>
      </c>
      <c r="Z255" s="163">
        <f t="shared" si="130"/>
        <v>16.338418862690705</v>
      </c>
    </row>
    <row r="256" spans="2:26" s="88" customFormat="1" ht="12" hidden="1" customHeight="1">
      <c r="B256" s="531" t="s">
        <v>168</v>
      </c>
      <c r="C256" s="262" t="s">
        <v>168</v>
      </c>
      <c r="D256" s="288">
        <v>103.4</v>
      </c>
      <c r="E256" s="129">
        <v>100.3</v>
      </c>
      <c r="F256" s="129">
        <v>101.8</v>
      </c>
      <c r="G256" s="130">
        <v>331139</v>
      </c>
      <c r="H256" s="400">
        <v>161</v>
      </c>
      <c r="I256" s="401">
        <f t="shared" si="149"/>
        <v>2056.7639751552797</v>
      </c>
      <c r="J256" s="401">
        <f t="shared" si="153"/>
        <v>2400.3990334722839</v>
      </c>
      <c r="K256" s="394">
        <f t="shared" si="154"/>
        <v>105.03252293676127</v>
      </c>
      <c r="L256" s="401">
        <f t="shared" ref="L256:M256" si="164">AVERAGE(L220:L255)</f>
        <v>8634.3391942058097</v>
      </c>
      <c r="M256" s="401">
        <f t="shared" si="164"/>
        <v>6529.972723749499</v>
      </c>
      <c r="N256" s="401">
        <f t="shared" si="156"/>
        <v>7900.984415472014</v>
      </c>
      <c r="O256" s="402">
        <f t="shared" si="157"/>
        <v>99.090559123649143</v>
      </c>
      <c r="P256" s="401">
        <v>445300</v>
      </c>
      <c r="Q256" s="401">
        <v>130700</v>
      </c>
      <c r="R256" s="401">
        <f>AVERAGE(P256:Q256)</f>
        <v>288000</v>
      </c>
      <c r="S256" s="394">
        <f t="shared" si="159"/>
        <v>338.96310245395165</v>
      </c>
      <c r="T256" s="404">
        <v>98.8</v>
      </c>
      <c r="U256" s="133">
        <v>105.03252293676127</v>
      </c>
      <c r="V256" s="133">
        <v>103.61774023011645</v>
      </c>
      <c r="W256" s="113">
        <v>43179</v>
      </c>
      <c r="X256" s="134">
        <v>0.2</v>
      </c>
      <c r="Y256" s="312">
        <v>0.2</v>
      </c>
      <c r="Z256" s="163">
        <f t="shared" si="130"/>
        <v>12.038834951456312</v>
      </c>
    </row>
    <row r="257" spans="2:26" s="88" customFormat="1" ht="12" hidden="1" customHeight="1">
      <c r="B257" s="531" t="s">
        <v>391</v>
      </c>
      <c r="C257" s="262" t="s">
        <v>391</v>
      </c>
      <c r="D257" s="288">
        <v>103.6</v>
      </c>
      <c r="E257" s="129">
        <v>100.3</v>
      </c>
      <c r="F257" s="129">
        <v>101.9</v>
      </c>
      <c r="G257" s="130">
        <v>323379</v>
      </c>
      <c r="H257" s="400">
        <v>166.3</v>
      </c>
      <c r="I257" s="401">
        <f t="shared" si="149"/>
        <v>1944.5520144317497</v>
      </c>
      <c r="J257" s="401">
        <f t="shared" si="153"/>
        <v>2403.3915792703224</v>
      </c>
      <c r="K257" s="394">
        <f t="shared" si="154"/>
        <v>105.16346559703935</v>
      </c>
      <c r="L257" s="401">
        <f t="shared" ref="L257:M257" si="165">AVERAGE(L221:L256)</f>
        <v>8634.3390581904277</v>
      </c>
      <c r="M257" s="401">
        <f t="shared" si="165"/>
        <v>6529.9723731716658</v>
      </c>
      <c r="N257" s="401">
        <f t="shared" si="156"/>
        <v>7900.9842046833437</v>
      </c>
      <c r="O257" s="402">
        <f t="shared" si="157"/>
        <v>99.090556480033356</v>
      </c>
      <c r="P257" s="401">
        <v>432500</v>
      </c>
      <c r="Q257" s="401">
        <v>141100</v>
      </c>
      <c r="R257" s="401">
        <f t="shared" ref="R257:R265" si="166">AVERAGE(P257:Q257)</f>
        <v>286800</v>
      </c>
      <c r="S257" s="394">
        <f t="shared" si="159"/>
        <v>337.55075619372678</v>
      </c>
      <c r="T257" s="403">
        <v>98.6</v>
      </c>
      <c r="U257" s="133">
        <v>105.16346559703935</v>
      </c>
      <c r="V257" s="133">
        <v>103.6735589065114</v>
      </c>
      <c r="W257" s="113">
        <v>43573</v>
      </c>
      <c r="X257" s="134">
        <v>0.2</v>
      </c>
      <c r="Y257" s="312">
        <v>0.2</v>
      </c>
      <c r="Z257" s="163">
        <f t="shared" si="130"/>
        <v>12.038834951456312</v>
      </c>
    </row>
    <row r="258" spans="2:26" s="88" customFormat="1" ht="12" hidden="1" customHeight="1">
      <c r="B258" s="531" t="s">
        <v>160</v>
      </c>
      <c r="C258" s="262" t="s">
        <v>392</v>
      </c>
      <c r="D258" s="288">
        <v>103.6</v>
      </c>
      <c r="E258" s="129">
        <v>100.3</v>
      </c>
      <c r="F258" s="129">
        <v>101.8</v>
      </c>
      <c r="G258" s="130">
        <v>324770</v>
      </c>
      <c r="H258" s="400">
        <v>149.69999999999999</v>
      </c>
      <c r="I258" s="401">
        <f t="shared" si="149"/>
        <v>2169.4722778891119</v>
      </c>
      <c r="J258" s="401">
        <f t="shared" si="153"/>
        <v>2415.9307212608669</v>
      </c>
      <c r="K258" s="394">
        <f t="shared" si="154"/>
        <v>105.71213175644203</v>
      </c>
      <c r="L258" s="401">
        <f t="shared" ref="L258:M258" si="167">AVERAGE(L222:L257)</f>
        <v>8634.3390426573951</v>
      </c>
      <c r="M258" s="401">
        <f t="shared" si="167"/>
        <v>6529.9720472645822</v>
      </c>
      <c r="N258" s="401">
        <f>($L$13*L258+$M$13*M258)/100</f>
        <v>7900.9840809874513</v>
      </c>
      <c r="O258" s="402">
        <f t="shared" si="157"/>
        <v>99.090554928695624</v>
      </c>
      <c r="P258" s="401">
        <v>415200</v>
      </c>
      <c r="Q258" s="401">
        <v>134600</v>
      </c>
      <c r="R258" s="401">
        <f t="shared" si="166"/>
        <v>274900</v>
      </c>
      <c r="S258" s="394">
        <f t="shared" si="159"/>
        <v>323.54498911316421</v>
      </c>
      <c r="T258" s="404">
        <v>98.6</v>
      </c>
      <c r="U258" s="133">
        <v>105.71213175644203</v>
      </c>
      <c r="V258" s="133">
        <v>104.09767784772968</v>
      </c>
      <c r="W258" s="113">
        <v>43605</v>
      </c>
      <c r="X258" s="134">
        <v>0.2</v>
      </c>
      <c r="Y258" s="312">
        <v>0.2</v>
      </c>
      <c r="Z258" s="163">
        <f t="shared" si="130"/>
        <v>12.038834951456312</v>
      </c>
    </row>
    <row r="259" spans="2:26" s="88" customFormat="1" ht="12" hidden="1" customHeight="1">
      <c r="B259" s="531" t="s">
        <v>161</v>
      </c>
      <c r="C259" s="262" t="s">
        <v>161</v>
      </c>
      <c r="D259" s="288">
        <v>104.1</v>
      </c>
      <c r="E259" s="129">
        <v>100.3</v>
      </c>
      <c r="F259" s="129">
        <v>101.7</v>
      </c>
      <c r="G259" s="130">
        <v>510063</v>
      </c>
      <c r="H259" s="400">
        <v>165.4</v>
      </c>
      <c r="I259" s="401">
        <f t="shared" si="149"/>
        <v>3083.8149939540508</v>
      </c>
      <c r="J259" s="401">
        <f t="shared" si="153"/>
        <v>2422.160247692083</v>
      </c>
      <c r="K259" s="394">
        <f>J259/$J$85*100</f>
        <v>105.98471263514094</v>
      </c>
      <c r="L259" s="401">
        <f>AVERAGE(L223:L258)</f>
        <v>8634.3391397690357</v>
      </c>
      <c r="M259" s="401">
        <f>AVERAGE(M223:M258)</f>
        <v>6529.9717453490612</v>
      </c>
      <c r="N259" s="401">
        <f>($L$13*L259+$M$13*M259)/100</f>
        <v>7900.9840390413383</v>
      </c>
      <c r="O259" s="402">
        <f>N259/$N$85*100</f>
        <v>99.090554402626523</v>
      </c>
      <c r="P259" s="401">
        <v>374000</v>
      </c>
      <c r="Q259" s="401">
        <v>134500</v>
      </c>
      <c r="R259" s="401">
        <f t="shared" si="166"/>
        <v>254250</v>
      </c>
      <c r="S259" s="394">
        <f t="shared" si="159"/>
        <v>299.24086388512916</v>
      </c>
      <c r="T259" s="404">
        <v>97.8</v>
      </c>
      <c r="U259" s="394">
        <v>105.98471263514094</v>
      </c>
      <c r="V259" s="133">
        <v>104.12678286696394</v>
      </c>
      <c r="W259" s="113">
        <v>43635</v>
      </c>
      <c r="X259" s="134">
        <v>0.2</v>
      </c>
      <c r="Y259" s="312">
        <v>0.2</v>
      </c>
      <c r="Z259" s="163">
        <f t="shared" si="130"/>
        <v>12.038834951456312</v>
      </c>
    </row>
    <row r="260" spans="2:26" s="88" customFormat="1" ht="12" hidden="1" customHeight="1">
      <c r="B260" s="531" t="s">
        <v>393</v>
      </c>
      <c r="C260" s="262" t="s">
        <v>393</v>
      </c>
      <c r="D260" s="288">
        <v>104.1</v>
      </c>
      <c r="E260" s="129">
        <v>100.3</v>
      </c>
      <c r="F260" s="129">
        <v>101.6</v>
      </c>
      <c r="G260" s="130">
        <v>535744</v>
      </c>
      <c r="H260" s="400">
        <v>166.1</v>
      </c>
      <c r="I260" s="401">
        <f t="shared" si="149"/>
        <v>3225.4304635761591</v>
      </c>
      <c r="J260" s="401">
        <f t="shared" si="153"/>
        <v>2423.2095861644152</v>
      </c>
      <c r="K260" s="394">
        <f t="shared" ref="K260" si="168">J260/$J$85*100</f>
        <v>106.03062777909274</v>
      </c>
      <c r="L260" s="401">
        <f t="shared" ref="L260:M260" si="169">AVERAGE(L224:L259)</f>
        <v>8634.3393421895707</v>
      </c>
      <c r="M260" s="401">
        <f t="shared" si="169"/>
        <v>6529.9714688234799</v>
      </c>
      <c r="N260" s="401">
        <f t="shared" ref="N260:N269" si="170">($L$13*L260+$M$13*M260)/100</f>
        <v>7900.9840745530064</v>
      </c>
      <c r="O260" s="402">
        <f t="shared" ref="O260:O270" si="171">N260/$N$85*100</f>
        <v>99.090554847997751</v>
      </c>
      <c r="P260" s="401">
        <v>366700</v>
      </c>
      <c r="Q260" s="401">
        <v>135400</v>
      </c>
      <c r="R260" s="401">
        <f t="shared" si="166"/>
        <v>251050</v>
      </c>
      <c r="S260" s="394">
        <f t="shared" si="159"/>
        <v>295.47460719119636</v>
      </c>
      <c r="T260" s="404">
        <v>97.8</v>
      </c>
      <c r="U260" s="133">
        <v>106.03062777909274</v>
      </c>
      <c r="V260" s="133">
        <v>104.16227527323868</v>
      </c>
      <c r="W260" s="113">
        <v>43665</v>
      </c>
      <c r="X260" s="134">
        <v>0.08</v>
      </c>
      <c r="Y260" s="312">
        <v>0.15200000000000002</v>
      </c>
      <c r="Z260" s="163">
        <f t="shared" si="130"/>
        <v>9.1495145631067984</v>
      </c>
    </row>
    <row r="261" spans="2:26" s="88" customFormat="1" ht="12" hidden="1" customHeight="1">
      <c r="B261" s="531" t="s">
        <v>394</v>
      </c>
      <c r="C261" s="262" t="s">
        <v>394</v>
      </c>
      <c r="D261" s="288">
        <v>104</v>
      </c>
      <c r="E261" s="129">
        <v>100.3</v>
      </c>
      <c r="F261" s="129">
        <v>101.4</v>
      </c>
      <c r="G261" s="130">
        <v>327049</v>
      </c>
      <c r="H261" s="400">
        <v>152.19999999999999</v>
      </c>
      <c r="I261" s="401">
        <f t="shared" ref="I261:I272" si="172">G261/H261</f>
        <v>2148.8107752956639</v>
      </c>
      <c r="J261" s="401">
        <f t="shared" si="153"/>
        <v>2427.6111284356175</v>
      </c>
      <c r="K261" s="394">
        <f>J261/$J$85*100</f>
        <v>106.22322287812027</v>
      </c>
      <c r="L261" s="401">
        <f t="shared" ref="L261:M261" si="173">AVERAGE(L225:L260)</f>
        <v>8634.3396378226171</v>
      </c>
      <c r="M261" s="401">
        <f t="shared" si="173"/>
        <v>6529.9712213146149</v>
      </c>
      <c r="N261" s="401">
        <f t="shared" si="170"/>
        <v>7900.9841809054687</v>
      </c>
      <c r="O261" s="402">
        <f t="shared" si="171"/>
        <v>99.090556181822038</v>
      </c>
      <c r="P261" s="401">
        <v>349100</v>
      </c>
      <c r="Q261" s="401">
        <v>115000</v>
      </c>
      <c r="R261" s="401">
        <f t="shared" si="166"/>
        <v>232050</v>
      </c>
      <c r="S261" s="394">
        <f t="shared" si="159"/>
        <v>273.11245807097043</v>
      </c>
      <c r="T261" s="404">
        <v>97.8</v>
      </c>
      <c r="U261" s="133">
        <v>106.22322287812027</v>
      </c>
      <c r="V261" s="133">
        <v>104.31115128478696</v>
      </c>
      <c r="W261" s="113">
        <v>43697</v>
      </c>
      <c r="X261" s="134">
        <v>7.0000000000000007E-2</v>
      </c>
      <c r="Y261" s="312">
        <v>7.6451612903225802E-2</v>
      </c>
      <c r="Z261" s="163">
        <f t="shared" si="130"/>
        <v>4.6019417475728162</v>
      </c>
    </row>
    <row r="262" spans="2:26" s="88" customFormat="1" ht="12" hidden="1" customHeight="1">
      <c r="B262" s="531" t="s">
        <v>164</v>
      </c>
      <c r="C262" s="262" t="s">
        <v>164</v>
      </c>
      <c r="D262" s="288">
        <v>104</v>
      </c>
      <c r="E262" s="129">
        <v>100.3</v>
      </c>
      <c r="F262" s="129">
        <v>101.3</v>
      </c>
      <c r="G262" s="130">
        <v>316534</v>
      </c>
      <c r="H262" s="400">
        <v>159.9</v>
      </c>
      <c r="I262" s="401">
        <f t="shared" si="172"/>
        <v>1979.5747342088805</v>
      </c>
      <c r="J262" s="401">
        <f t="shared" si="153"/>
        <v>2428.5860869843195</v>
      </c>
      <c r="K262" s="394">
        <f>J262/$J$85*100</f>
        <v>106.26588343359499</v>
      </c>
      <c r="L262" s="401">
        <f t="shared" ref="L262:M262" si="174">AVERAGE(L226:L261)</f>
        <v>8634.3400098813781</v>
      </c>
      <c r="M262" s="401">
        <f t="shared" si="174"/>
        <v>6529.9710089323917</v>
      </c>
      <c r="N262" s="401">
        <f t="shared" si="170"/>
        <v>7900.9843492912487</v>
      </c>
      <c r="O262" s="402">
        <f t="shared" si="171"/>
        <v>99.090558293640044</v>
      </c>
      <c r="P262" s="401">
        <v>333800</v>
      </c>
      <c r="Q262" s="401">
        <v>103000</v>
      </c>
      <c r="R262" s="401">
        <f t="shared" si="166"/>
        <v>218400</v>
      </c>
      <c r="S262" s="394">
        <f t="shared" si="159"/>
        <v>257.04701936091328</v>
      </c>
      <c r="T262" s="404">
        <v>97.4</v>
      </c>
      <c r="U262" s="133">
        <v>106.26588343359499</v>
      </c>
      <c r="V262" s="133">
        <v>104.25332789416892</v>
      </c>
      <c r="W262" s="113">
        <v>43727</v>
      </c>
      <c r="X262" s="134">
        <v>0.02</v>
      </c>
      <c r="Y262" s="312">
        <v>5.000000000000001E-2</v>
      </c>
      <c r="Z262" s="163">
        <f t="shared" si="130"/>
        <v>3.0097087378640786</v>
      </c>
    </row>
    <row r="263" spans="2:26" ht="12" hidden="1" customHeight="1">
      <c r="B263" s="531" t="s">
        <v>165</v>
      </c>
      <c r="C263" s="262" t="s">
        <v>165</v>
      </c>
      <c r="D263" s="288">
        <v>106.1</v>
      </c>
      <c r="E263" s="129">
        <v>102.1</v>
      </c>
      <c r="F263" s="129">
        <v>102.5</v>
      </c>
      <c r="G263" s="130">
        <v>316717</v>
      </c>
      <c r="H263" s="400">
        <v>161.19999999999999</v>
      </c>
      <c r="I263" s="401">
        <f t="shared" si="172"/>
        <v>1964.7456575682384</v>
      </c>
      <c r="J263" s="401">
        <f>AVERAGE(I252:I263)</f>
        <v>2432.6380723204743</v>
      </c>
      <c r="K263" s="394">
        <f t="shared" ref="K263:K270" si="175">J263/$J$85*100</f>
        <v>106.44318322284857</v>
      </c>
      <c r="L263" s="401">
        <f t="shared" ref="L263:M263" si="176">AVERAGE(L227:L262)</f>
        <v>8634.3404370199496</v>
      </c>
      <c r="M263" s="401">
        <f t="shared" si="176"/>
        <v>6529.9708387073051</v>
      </c>
      <c r="N263" s="401">
        <f t="shared" si="170"/>
        <v>7900.9845682533951</v>
      </c>
      <c r="O263" s="402">
        <f t="shared" si="171"/>
        <v>99.090561039763855</v>
      </c>
      <c r="P263" s="401">
        <v>302300</v>
      </c>
      <c r="Q263" s="401">
        <v>96700</v>
      </c>
      <c r="R263" s="401">
        <f t="shared" si="166"/>
        <v>199500</v>
      </c>
      <c r="S263" s="394">
        <f t="shared" ref="S263:S274" si="177">R263/$R$85*100</f>
        <v>234.80256576237272</v>
      </c>
      <c r="T263" s="404">
        <v>101.5</v>
      </c>
      <c r="U263" s="133">
        <v>106.44318322284857</v>
      </c>
      <c r="V263" s="133">
        <v>105.32108063126194</v>
      </c>
      <c r="W263" s="113">
        <v>43759</v>
      </c>
      <c r="X263" s="134">
        <v>0.06</v>
      </c>
      <c r="Y263" s="312">
        <v>3.4193548387096769E-2</v>
      </c>
      <c r="Z263" s="163">
        <f t="shared" si="130"/>
        <v>2.058252427184466</v>
      </c>
    </row>
    <row r="264" spans="2:26" ht="12" hidden="1" customHeight="1">
      <c r="B264" s="531" t="s">
        <v>166</v>
      </c>
      <c r="C264" s="262" t="s">
        <v>166</v>
      </c>
      <c r="D264" s="288">
        <v>106.4</v>
      </c>
      <c r="E264" s="129">
        <v>102.2</v>
      </c>
      <c r="F264" s="129">
        <v>102.7</v>
      </c>
      <c r="G264" s="130">
        <v>348053</v>
      </c>
      <c r="H264" s="400">
        <v>165.4</v>
      </c>
      <c r="I264" s="401">
        <f t="shared" si="172"/>
        <v>2104.3107617896007</v>
      </c>
      <c r="J264" s="401">
        <f>AVERAGE(I253:I264)</f>
        <v>2443.1210078781237</v>
      </c>
      <c r="K264" s="394">
        <f t="shared" si="175"/>
        <v>106.90187744578812</v>
      </c>
      <c r="L264" s="401">
        <f t="shared" ref="L264:M264" si="178">AVERAGE(L228:L263)</f>
        <v>8634.3408927388646</v>
      </c>
      <c r="M264" s="401">
        <f t="shared" si="178"/>
        <v>6529.9707154031603</v>
      </c>
      <c r="N264" s="401">
        <f t="shared" si="170"/>
        <v>7900.9848221874327</v>
      </c>
      <c r="O264" s="402">
        <f t="shared" si="171"/>
        <v>99.090564224489256</v>
      </c>
      <c r="P264" s="401">
        <v>300300</v>
      </c>
      <c r="Q264" s="401">
        <v>99770</v>
      </c>
      <c r="R264" s="401">
        <f t="shared" si="166"/>
        <v>200035</v>
      </c>
      <c r="S264" s="394">
        <f t="shared" si="177"/>
        <v>235.43223680338966</v>
      </c>
      <c r="T264" s="404">
        <v>101.9</v>
      </c>
      <c r="U264" s="133">
        <v>106.90187744578812</v>
      </c>
      <c r="V264" s="133">
        <v>105.76645126559423</v>
      </c>
      <c r="W264" s="113">
        <v>43787</v>
      </c>
      <c r="X264" s="134">
        <v>0.09</v>
      </c>
      <c r="Y264" s="312">
        <v>7.3000000000000009E-2</v>
      </c>
      <c r="Z264" s="163">
        <f t="shared" si="130"/>
        <v>4.3941747572815544</v>
      </c>
    </row>
    <row r="265" spans="2:26" s="88" customFormat="1" ht="12" hidden="1" customHeight="1">
      <c r="B265" s="531" t="s">
        <v>167</v>
      </c>
      <c r="C265" s="262" t="s">
        <v>167</v>
      </c>
      <c r="D265" s="546">
        <v>106.4</v>
      </c>
      <c r="E265" s="129">
        <v>102.2</v>
      </c>
      <c r="F265" s="129">
        <v>102.8</v>
      </c>
      <c r="G265" s="130">
        <v>729297</v>
      </c>
      <c r="H265" s="400">
        <v>162.6</v>
      </c>
      <c r="I265" s="401">
        <f t="shared" si="172"/>
        <v>4485.2214022140224</v>
      </c>
      <c r="J265" s="401">
        <f t="shared" ref="J265:J274" si="179">AVERAGE(I254:I265)</f>
        <v>2442.4465287696962</v>
      </c>
      <c r="K265" s="394">
        <f t="shared" si="175"/>
        <v>106.87236475167417</v>
      </c>
      <c r="L265" s="401">
        <f t="shared" ref="L265:M265" si="180">AVERAGE(L229:L264)</f>
        <v>8634.3413498165828</v>
      </c>
      <c r="M265" s="401">
        <f t="shared" si="180"/>
        <v>6529.9706401304202</v>
      </c>
      <c r="N265" s="401">
        <f t="shared" si="170"/>
        <v>7900.9850937453002</v>
      </c>
      <c r="O265" s="402">
        <f t="shared" si="171"/>
        <v>99.090567630244735</v>
      </c>
      <c r="P265" s="401">
        <v>324100</v>
      </c>
      <c r="Q265" s="401">
        <v>102000</v>
      </c>
      <c r="R265" s="401">
        <f t="shared" si="166"/>
        <v>213050</v>
      </c>
      <c r="S265" s="394">
        <f t="shared" si="177"/>
        <v>250.75030895074443</v>
      </c>
      <c r="T265" s="404">
        <v>101.8</v>
      </c>
      <c r="U265" s="133">
        <v>106.87236475167417</v>
      </c>
      <c r="V265" s="133">
        <v>105.72093795304413</v>
      </c>
      <c r="W265" s="113">
        <v>44183</v>
      </c>
      <c r="X265" s="134">
        <v>0.2</v>
      </c>
      <c r="Y265" s="312">
        <v>0.13967741935483871</v>
      </c>
      <c r="Z265" s="163">
        <f t="shared" si="130"/>
        <v>8.4077669902912628</v>
      </c>
    </row>
    <row r="266" spans="2:26" s="88" customFormat="1" ht="12" customHeight="1">
      <c r="B266" s="439" t="s">
        <v>395</v>
      </c>
      <c r="C266" s="264" t="s">
        <v>396</v>
      </c>
      <c r="D266" s="441">
        <v>100.3</v>
      </c>
      <c r="E266" s="139">
        <v>99.9</v>
      </c>
      <c r="F266" s="139">
        <v>101.7</v>
      </c>
      <c r="G266" s="140">
        <v>315272</v>
      </c>
      <c r="H266" s="139">
        <v>146.4</v>
      </c>
      <c r="I266" s="140">
        <f t="shared" si="172"/>
        <v>2153.4972677595629</v>
      </c>
      <c r="J266" s="140">
        <f t="shared" si="179"/>
        <v>2436.1900177844059</v>
      </c>
      <c r="K266" s="142">
        <f t="shared" si="175"/>
        <v>106.59860312937587</v>
      </c>
      <c r="L266" s="140">
        <f t="shared" ref="L266:M266" si="181">AVERAGE(L230:L265)</f>
        <v>8634.3417852260573</v>
      </c>
      <c r="M266" s="140">
        <f t="shared" si="181"/>
        <v>6529.9706108531445</v>
      </c>
      <c r="N266" s="140">
        <f t="shared" si="170"/>
        <v>7900.985367215183</v>
      </c>
      <c r="O266" s="143">
        <f t="shared" si="171"/>
        <v>99.090571059979837</v>
      </c>
      <c r="P266" s="140">
        <v>385700</v>
      </c>
      <c r="Q266" s="140">
        <v>98900</v>
      </c>
      <c r="R266" s="140">
        <f>AVERAGE(P266:Q266)</f>
        <v>242300</v>
      </c>
      <c r="S266" s="142">
        <f t="shared" si="177"/>
        <v>285.17624904372389</v>
      </c>
      <c r="T266" s="440">
        <v>99.4</v>
      </c>
      <c r="U266" s="142">
        <v>106.59579750695734</v>
      </c>
      <c r="V266" s="142">
        <v>104.96235147287804</v>
      </c>
      <c r="W266" s="289">
        <v>43851</v>
      </c>
      <c r="X266" s="145">
        <v>0.2</v>
      </c>
      <c r="Y266" s="442">
        <v>0.2</v>
      </c>
      <c r="Z266" s="319">
        <f t="shared" si="130"/>
        <v>12.038834951456312</v>
      </c>
    </row>
    <row r="267" spans="2:26" s="88" customFormat="1" ht="12" customHeight="1">
      <c r="B267" s="531" t="s">
        <v>390</v>
      </c>
      <c r="C267" s="262" t="s">
        <v>390</v>
      </c>
      <c r="D267" s="546">
        <v>100.2</v>
      </c>
      <c r="E267" s="129">
        <v>99.9</v>
      </c>
      <c r="F267" s="129">
        <v>101.7</v>
      </c>
      <c r="G267" s="130">
        <v>311476</v>
      </c>
      <c r="H267" s="400">
        <v>160.5</v>
      </c>
      <c r="I267" s="401">
        <f t="shared" si="172"/>
        <v>1940.6604361370717</v>
      </c>
      <c r="J267" s="401">
        <f t="shared" si="179"/>
        <v>2438.071229998282</v>
      </c>
      <c r="K267" s="394">
        <f t="shared" si="175"/>
        <v>106.68091797047006</v>
      </c>
      <c r="L267" s="401">
        <f t="shared" ref="L267:M267" si="182">AVERAGE(L231:L266)</f>
        <v>8634.3421812024408</v>
      </c>
      <c r="M267" s="401">
        <f t="shared" si="182"/>
        <v>6529.970622416573</v>
      </c>
      <c r="N267" s="401">
        <f t="shared" si="170"/>
        <v>7900.985629226745</v>
      </c>
      <c r="O267" s="402">
        <f t="shared" si="171"/>
        <v>99.090574346009888</v>
      </c>
      <c r="P267" s="401">
        <v>378200</v>
      </c>
      <c r="Q267" s="401">
        <v>116000</v>
      </c>
      <c r="R267" s="401">
        <f>AVERAGE(P267:Q267)</f>
        <v>247100</v>
      </c>
      <c r="S267" s="394">
        <f t="shared" si="177"/>
        <v>290.82563408462312</v>
      </c>
      <c r="T267" s="403">
        <v>99.7</v>
      </c>
      <c r="U267" s="133">
        <v>106.67811234805151</v>
      </c>
      <c r="V267" s="133">
        <v>105.09408084504383</v>
      </c>
      <c r="W267" s="113">
        <v>43881</v>
      </c>
      <c r="X267" s="134">
        <v>0.1</v>
      </c>
      <c r="Y267" s="312">
        <v>0.16551724137931034</v>
      </c>
      <c r="Z267" s="163">
        <f t="shared" si="130"/>
        <v>9.9631737529293609</v>
      </c>
    </row>
    <row r="268" spans="2:26" s="88" customFormat="1" ht="12" customHeight="1">
      <c r="B268" s="531" t="s">
        <v>168</v>
      </c>
      <c r="C268" s="270" t="s">
        <v>168</v>
      </c>
      <c r="D268" s="546">
        <v>100.2</v>
      </c>
      <c r="E268" s="129">
        <v>100</v>
      </c>
      <c r="F268" s="129">
        <v>100.7</v>
      </c>
      <c r="G268" s="130">
        <v>324107</v>
      </c>
      <c r="H268" s="400">
        <v>158.9</v>
      </c>
      <c r="I268" s="401">
        <f t="shared" si="172"/>
        <v>2039.6916299559471</v>
      </c>
      <c r="J268" s="401">
        <f t="shared" si="179"/>
        <v>2436.6485345650049</v>
      </c>
      <c r="K268" s="394">
        <f t="shared" si="175"/>
        <v>106.61866611623915</v>
      </c>
      <c r="L268" s="401">
        <f t="shared" ref="L268:M268" si="183">AVERAGE(L232:L267)</f>
        <v>8634.3425248165913</v>
      </c>
      <c r="M268" s="401">
        <f t="shared" si="183"/>
        <v>6529.9706673140499</v>
      </c>
      <c r="N268" s="401">
        <f t="shared" si="170"/>
        <v>7900.9858687405385</v>
      </c>
      <c r="O268" s="402">
        <f t="shared" si="171"/>
        <v>99.090577349883119</v>
      </c>
      <c r="P268" s="401">
        <v>383500</v>
      </c>
      <c r="Q268" s="401">
        <v>127700</v>
      </c>
      <c r="R268" s="401">
        <f>AVERAGE(P268:Q268)</f>
        <v>255600</v>
      </c>
      <c r="S268" s="394">
        <f t="shared" si="177"/>
        <v>300.82975342788205</v>
      </c>
      <c r="T268" s="404">
        <v>99.9</v>
      </c>
      <c r="U268" s="133">
        <v>106.61586049382059</v>
      </c>
      <c r="V268" s="133">
        <v>105.09136016172332</v>
      </c>
      <c r="W268" s="113">
        <v>43908</v>
      </c>
      <c r="X268" s="134">
        <v>0.1</v>
      </c>
      <c r="Y268" s="312">
        <v>0.1</v>
      </c>
      <c r="Z268" s="163">
        <f t="shared" si="130"/>
        <v>6.0194174757281562</v>
      </c>
    </row>
    <row r="269" spans="2:26" s="88" customFormat="1" ht="12" customHeight="1">
      <c r="B269" s="531" t="s">
        <v>149</v>
      </c>
      <c r="C269" s="270" t="s">
        <v>149</v>
      </c>
      <c r="D269" s="546">
        <v>100.2</v>
      </c>
      <c r="E269" s="129">
        <v>100.1</v>
      </c>
      <c r="F269" s="129">
        <v>99.2</v>
      </c>
      <c r="G269" s="130">
        <v>315884</v>
      </c>
      <c r="H269" s="400">
        <v>161.19999999999999</v>
      </c>
      <c r="I269" s="401">
        <f t="shared" si="172"/>
        <v>1959.5781637717123</v>
      </c>
      <c r="J269" s="401">
        <f t="shared" si="179"/>
        <v>2437.9007136766681</v>
      </c>
      <c r="K269" s="394">
        <f t="shared" si="175"/>
        <v>106.67345681121643</v>
      </c>
      <c r="L269" s="401">
        <f t="shared" ref="L269:M269" si="184">AVERAGE(L233:L268)</f>
        <v>8634.3428112310612</v>
      </c>
      <c r="M269" s="401">
        <f t="shared" si="184"/>
        <v>6529.9707366997263</v>
      </c>
      <c r="N269" s="401">
        <f t="shared" si="170"/>
        <v>7900.9860795222212</v>
      </c>
      <c r="O269" s="402">
        <f t="shared" si="171"/>
        <v>99.090579993411282</v>
      </c>
      <c r="P269" s="401">
        <v>432400</v>
      </c>
      <c r="Q269" s="401">
        <v>116400</v>
      </c>
      <c r="R269" s="401">
        <f t="shared" ref="R269:R277" si="185">AVERAGE(P269:Q269)</f>
        <v>274400</v>
      </c>
      <c r="S269" s="394">
        <f t="shared" si="177"/>
        <v>322.95651150473725</v>
      </c>
      <c r="T269" s="403">
        <v>99.9</v>
      </c>
      <c r="U269" s="133">
        <v>106.67065118879788</v>
      </c>
      <c r="V269" s="133">
        <v>105.13371336894075</v>
      </c>
      <c r="W269" s="113">
        <v>43941</v>
      </c>
      <c r="X269" s="134">
        <v>0.2</v>
      </c>
      <c r="Y269" s="312">
        <v>0.13666666666666666</v>
      </c>
      <c r="Z269" s="163">
        <f t="shared" si="130"/>
        <v>8.2265372168284792</v>
      </c>
    </row>
    <row r="270" spans="2:26" s="88" customFormat="1" ht="12" customHeight="1">
      <c r="B270" s="531" t="s">
        <v>160</v>
      </c>
      <c r="C270" s="270" t="s">
        <v>160</v>
      </c>
      <c r="D270" s="546">
        <v>100</v>
      </c>
      <c r="E270" s="129">
        <v>100.1</v>
      </c>
      <c r="F270" s="129">
        <v>98.7</v>
      </c>
      <c r="G270" s="130">
        <v>310196</v>
      </c>
      <c r="H270" s="400">
        <v>140</v>
      </c>
      <c r="I270" s="401">
        <f t="shared" si="172"/>
        <v>2215.6857142857143</v>
      </c>
      <c r="J270" s="401">
        <f t="shared" si="179"/>
        <v>2441.7518333763851</v>
      </c>
      <c r="K270" s="394">
        <f t="shared" si="175"/>
        <v>106.84196746821648</v>
      </c>
      <c r="L270" s="401">
        <f t="shared" ref="L270:M270" si="186">AVERAGE(L234:L269)</f>
        <v>8634.3430424719481</v>
      </c>
      <c r="M270" s="401">
        <f t="shared" si="186"/>
        <v>6529.9708213934373</v>
      </c>
      <c r="N270" s="401">
        <f>($L$13*L270+$M$13*M270)/100</f>
        <v>7900.986259692595</v>
      </c>
      <c r="O270" s="402">
        <f t="shared" si="171"/>
        <v>99.090582253026298</v>
      </c>
      <c r="P270" s="401">
        <v>401500</v>
      </c>
      <c r="Q270" s="401">
        <v>125200</v>
      </c>
      <c r="R270" s="401">
        <f t="shared" si="185"/>
        <v>263350</v>
      </c>
      <c r="S270" s="394">
        <f t="shared" si="177"/>
        <v>309.95115635850055</v>
      </c>
      <c r="T270" s="404">
        <v>100.1</v>
      </c>
      <c r="U270" s="133">
        <v>106.83916184579792</v>
      </c>
      <c r="V270" s="133">
        <v>105.30937210680179</v>
      </c>
      <c r="W270" s="113">
        <v>43969</v>
      </c>
      <c r="X270" s="134">
        <v>0.2</v>
      </c>
      <c r="Y270" s="312">
        <v>0.2</v>
      </c>
      <c r="Z270" s="163">
        <f t="shared" si="130"/>
        <v>12.038834951456312</v>
      </c>
    </row>
    <row r="271" spans="2:26" s="88" customFormat="1" ht="12" customHeight="1">
      <c r="B271" s="531" t="s">
        <v>161</v>
      </c>
      <c r="C271" s="270" t="s">
        <v>161</v>
      </c>
      <c r="D271" s="546">
        <v>99.9</v>
      </c>
      <c r="E271" s="129">
        <v>100.1</v>
      </c>
      <c r="F271" s="129">
        <v>99.1</v>
      </c>
      <c r="G271" s="130">
        <v>479920</v>
      </c>
      <c r="H271" s="400">
        <v>150.6</v>
      </c>
      <c r="I271" s="401">
        <f t="shared" si="172"/>
        <v>3186.7197875166003</v>
      </c>
      <c r="J271" s="401">
        <f t="shared" si="179"/>
        <v>2450.3272328399312</v>
      </c>
      <c r="K271" s="394">
        <f>J271/$J$85*100</f>
        <v>107.21719501508977</v>
      </c>
      <c r="L271" s="401">
        <f>AVERAGE(L235:L270)</f>
        <v>8634.3432256012511</v>
      </c>
      <c r="M271" s="401">
        <f>AVERAGE(M235:M270)</f>
        <v>6529.9709128848908</v>
      </c>
      <c r="N271" s="401">
        <f>($L$13*L271+$M$13*M271)/100</f>
        <v>7900.986410886846</v>
      </c>
      <c r="O271" s="402">
        <f>N271/$N$85*100</f>
        <v>99.090584149235966</v>
      </c>
      <c r="P271" s="401">
        <v>403300</v>
      </c>
      <c r="Q271" s="401">
        <v>131400</v>
      </c>
      <c r="R271" s="401">
        <f t="shared" si="185"/>
        <v>267350</v>
      </c>
      <c r="S271" s="394">
        <f t="shared" si="177"/>
        <v>314.65897722591654</v>
      </c>
      <c r="T271" s="404">
        <v>100.3</v>
      </c>
      <c r="U271" s="394">
        <v>107.21438939267121</v>
      </c>
      <c r="V271" s="133">
        <v>105.64482300053483</v>
      </c>
      <c r="W271" s="113">
        <v>44000</v>
      </c>
      <c r="X271" s="134">
        <v>0.2</v>
      </c>
      <c r="Y271" s="312">
        <v>0.2</v>
      </c>
      <c r="Z271" s="163">
        <f t="shared" si="130"/>
        <v>12.038834951456312</v>
      </c>
    </row>
    <row r="272" spans="2:26" s="88" customFormat="1" ht="12" customHeight="1">
      <c r="B272" s="531" t="s">
        <v>152</v>
      </c>
      <c r="C272" s="270" t="s">
        <v>152</v>
      </c>
      <c r="D272" s="546">
        <v>99.9</v>
      </c>
      <c r="E272" s="129">
        <v>100.1</v>
      </c>
      <c r="F272" s="129">
        <v>99</v>
      </c>
      <c r="G272" s="130">
        <v>509233</v>
      </c>
      <c r="H272" s="400">
        <v>157.19999999999999</v>
      </c>
      <c r="I272" s="401">
        <f t="shared" si="172"/>
        <v>3239.3956743002545</v>
      </c>
      <c r="J272" s="401">
        <f t="shared" si="179"/>
        <v>2451.4910004002727</v>
      </c>
      <c r="K272" s="394">
        <f t="shared" ref="K272" si="187">J272/$J$85*100</f>
        <v>107.2681171498141</v>
      </c>
      <c r="L272" s="401">
        <f t="shared" ref="L272:M272" si="188">AVERAGE(L236:L271)</f>
        <v>8634.3433696719621</v>
      </c>
      <c r="M272" s="401">
        <f t="shared" si="188"/>
        <v>6529.9710054702236</v>
      </c>
      <c r="N272" s="401">
        <f t="shared" ref="N272:N281" si="189">($L$13*L272+$M$13*M272)/100</f>
        <v>7900.9865370153166</v>
      </c>
      <c r="O272" s="402">
        <f t="shared" ref="O272:O282" si="190">N272/$N$85*100</f>
        <v>99.090585731081973</v>
      </c>
      <c r="P272" s="401">
        <v>395100</v>
      </c>
      <c r="Q272" s="401">
        <v>121300</v>
      </c>
      <c r="R272" s="401">
        <f t="shared" si="185"/>
        <v>258200</v>
      </c>
      <c r="S272" s="394">
        <f t="shared" si="177"/>
        <v>303.88983699170245</v>
      </c>
      <c r="T272" s="404">
        <v>100.3</v>
      </c>
      <c r="U272" s="133">
        <v>107.26531152739554</v>
      </c>
      <c r="V272" s="133">
        <v>105.68418581067674</v>
      </c>
      <c r="W272" s="113">
        <v>44032</v>
      </c>
      <c r="X272" s="134">
        <v>0.3</v>
      </c>
      <c r="Y272" s="312">
        <v>0.23870967741935484</v>
      </c>
      <c r="Z272" s="163">
        <f t="shared" si="130"/>
        <v>14.368932038834952</v>
      </c>
    </row>
    <row r="273" spans="2:26" s="88" customFormat="1" ht="12" customHeight="1">
      <c r="B273" s="531" t="s">
        <v>153</v>
      </c>
      <c r="C273" s="270" t="s">
        <v>153</v>
      </c>
      <c r="D273" s="546">
        <v>99.8</v>
      </c>
      <c r="E273" s="129">
        <v>100</v>
      </c>
      <c r="F273" s="129">
        <v>99.2</v>
      </c>
      <c r="G273" s="130">
        <v>315686</v>
      </c>
      <c r="H273" s="400">
        <v>138.4</v>
      </c>
      <c r="I273" s="401">
        <f t="shared" ref="I273:I284" si="191">G273/H273</f>
        <v>2280.9682080924854</v>
      </c>
      <c r="J273" s="401">
        <f t="shared" si="179"/>
        <v>2462.5041198000081</v>
      </c>
      <c r="K273" s="394">
        <f>J273/$J$85*100</f>
        <v>107.75001024334894</v>
      </c>
      <c r="L273" s="401">
        <f t="shared" ref="L273:M273" si="192">AVERAGE(L237:L272)</f>
        <v>8634.3434803366436</v>
      </c>
      <c r="M273" s="401">
        <f t="shared" si="192"/>
        <v>6529.9710968919426</v>
      </c>
      <c r="N273" s="401">
        <f t="shared" si="189"/>
        <v>7900.9866409739816</v>
      </c>
      <c r="O273" s="402">
        <f t="shared" si="190"/>
        <v>99.090587034884337</v>
      </c>
      <c r="P273" s="401">
        <v>357300</v>
      </c>
      <c r="Q273" s="401">
        <v>99250</v>
      </c>
      <c r="R273" s="401">
        <f t="shared" si="185"/>
        <v>228275</v>
      </c>
      <c r="S273" s="394">
        <f t="shared" si="177"/>
        <v>268.66945212734652</v>
      </c>
      <c r="T273" s="404">
        <v>100.3</v>
      </c>
      <c r="U273" s="133">
        <v>107.74720462093035</v>
      </c>
      <c r="V273" s="133">
        <v>106.05668917197914</v>
      </c>
      <c r="W273" s="113">
        <v>44063</v>
      </c>
      <c r="X273" s="134">
        <v>0.3</v>
      </c>
      <c r="Y273" s="312">
        <v>0.3</v>
      </c>
      <c r="Z273" s="163">
        <f t="shared" si="130"/>
        <v>18.058252427184467</v>
      </c>
    </row>
    <row r="274" spans="2:26" s="88" customFormat="1" ht="12" customHeight="1">
      <c r="B274" s="531" t="s">
        <v>164</v>
      </c>
      <c r="C274" s="270" t="s">
        <v>164</v>
      </c>
      <c r="D274" s="546">
        <v>99.8</v>
      </c>
      <c r="E274" s="129">
        <v>100</v>
      </c>
      <c r="F274" s="129">
        <v>99.4</v>
      </c>
      <c r="G274" s="130">
        <v>310656</v>
      </c>
      <c r="H274" s="400">
        <v>154.4</v>
      </c>
      <c r="I274" s="401">
        <f t="shared" si="191"/>
        <v>2012.020725388601</v>
      </c>
      <c r="J274" s="401">
        <f t="shared" si="179"/>
        <v>2465.207952398318</v>
      </c>
      <c r="K274" s="394">
        <f>J274/$J$85*100</f>
        <v>107.86831988913659</v>
      </c>
      <c r="L274" s="401">
        <f t="shared" ref="L274:M274" si="193">AVERAGE(L238:L273)</f>
        <v>8634.3435592999613</v>
      </c>
      <c r="M274" s="401">
        <f t="shared" si="193"/>
        <v>6529.9711885481101</v>
      </c>
      <c r="N274" s="401">
        <f t="shared" si="189"/>
        <v>7900.986724360655</v>
      </c>
      <c r="O274" s="402">
        <f t="shared" si="190"/>
        <v>99.090588080682139</v>
      </c>
      <c r="P274" s="401">
        <v>348600</v>
      </c>
      <c r="Q274" s="401">
        <v>86710</v>
      </c>
      <c r="R274" s="401">
        <f t="shared" si="185"/>
        <v>217655</v>
      </c>
      <c r="S274" s="394">
        <f t="shared" si="177"/>
        <v>256.17018772435711</v>
      </c>
      <c r="T274" s="404">
        <v>100.4</v>
      </c>
      <c r="U274" s="133">
        <v>107.86551426671804</v>
      </c>
      <c r="V274" s="133">
        <v>106.17084252817304</v>
      </c>
      <c r="W274" s="113">
        <v>44092</v>
      </c>
      <c r="X274" s="134">
        <v>0.3</v>
      </c>
      <c r="Y274" s="312">
        <v>0.3</v>
      </c>
      <c r="Z274" s="163">
        <f t="shared" si="130"/>
        <v>18.058252427184467</v>
      </c>
    </row>
    <row r="275" spans="2:26" ht="12" customHeight="1">
      <c r="B275" s="531" t="s">
        <v>165</v>
      </c>
      <c r="C275" s="270" t="s">
        <v>165</v>
      </c>
      <c r="D275" s="546">
        <v>99.8</v>
      </c>
      <c r="E275" s="129">
        <v>100</v>
      </c>
      <c r="F275" s="129">
        <v>99.8</v>
      </c>
      <c r="G275" s="130">
        <v>312270</v>
      </c>
      <c r="H275" s="400">
        <v>159.9</v>
      </c>
      <c r="I275" s="401">
        <f t="shared" si="191"/>
        <v>1952.9080675422138</v>
      </c>
      <c r="J275" s="401">
        <f>AVERAGE(I264:I275)</f>
        <v>2464.2214865628157</v>
      </c>
      <c r="K275" s="394">
        <f t="shared" ref="K275:K282" si="194">J275/$J$85*100</f>
        <v>107.82515581764309</v>
      </c>
      <c r="L275" s="401">
        <f t="shared" ref="L275:M275" si="195">AVERAGE(L239:L274)</f>
        <v>8634.343604136966</v>
      </c>
      <c r="M275" s="401">
        <f t="shared" si="195"/>
        <v>6529.9712837016068</v>
      </c>
      <c r="N275" s="401">
        <f t="shared" si="189"/>
        <v>7900.9867867325529</v>
      </c>
      <c r="O275" s="402">
        <f t="shared" si="190"/>
        <v>99.090588862922161</v>
      </c>
      <c r="P275" s="401">
        <v>344000</v>
      </c>
      <c r="Q275" s="401">
        <v>84770</v>
      </c>
      <c r="R275" s="401">
        <f t="shared" si="185"/>
        <v>214385</v>
      </c>
      <c r="S275" s="394">
        <f t="shared" ref="S275:S286" si="196">R275/$R$85*100</f>
        <v>252.32154416524452</v>
      </c>
      <c r="T275" s="404">
        <v>99.4</v>
      </c>
      <c r="U275" s="133">
        <v>107.82235019522454</v>
      </c>
      <c r="V275" s="133">
        <v>105.91047670090859</v>
      </c>
      <c r="W275" s="113">
        <v>44123</v>
      </c>
      <c r="X275" s="134">
        <v>0.3</v>
      </c>
      <c r="Y275" s="312">
        <v>0.3</v>
      </c>
      <c r="Z275" s="163">
        <f t="shared" si="130"/>
        <v>18.058252427184467</v>
      </c>
    </row>
    <row r="276" spans="2:26" ht="12" customHeight="1">
      <c r="B276" s="531" t="s">
        <v>166</v>
      </c>
      <c r="C276" s="270" t="s">
        <v>166</v>
      </c>
      <c r="D276" s="546">
        <v>99.9</v>
      </c>
      <c r="E276" s="129">
        <v>100</v>
      </c>
      <c r="F276" s="129">
        <v>100.2</v>
      </c>
      <c r="G276" s="130">
        <v>335609</v>
      </c>
      <c r="H276" s="400">
        <v>160.9</v>
      </c>
      <c r="I276" s="401">
        <f t="shared" si="191"/>
        <v>2085.8234928527036</v>
      </c>
      <c r="J276" s="401">
        <f>AVERAGE(I265:I276)</f>
        <v>2462.680880818074</v>
      </c>
      <c r="K276" s="394">
        <f t="shared" si="194"/>
        <v>107.75774464726489</v>
      </c>
      <c r="L276" s="401">
        <f t="shared" ref="L276:M276" si="197">AVERAGE(L240:L275)</f>
        <v>8634.3436069602449</v>
      </c>
      <c r="M276" s="401">
        <f t="shared" si="197"/>
        <v>6529.9713842708607</v>
      </c>
      <c r="N276" s="401">
        <f t="shared" si="189"/>
        <v>7900.9868236195171</v>
      </c>
      <c r="O276" s="402">
        <f t="shared" si="190"/>
        <v>99.090589325541728</v>
      </c>
      <c r="P276" s="401">
        <v>360600</v>
      </c>
      <c r="Q276" s="401">
        <v>99130</v>
      </c>
      <c r="R276" s="401">
        <f t="shared" si="185"/>
        <v>229865</v>
      </c>
      <c r="S276" s="394">
        <f t="shared" si="196"/>
        <v>270.54081092214443</v>
      </c>
      <c r="T276" s="404">
        <v>99</v>
      </c>
      <c r="U276" s="133">
        <v>107.75493902484634</v>
      </c>
      <c r="V276" s="133">
        <v>105.76756786620621</v>
      </c>
      <c r="W276" s="113">
        <v>44153</v>
      </c>
      <c r="X276" s="134">
        <v>0.3</v>
      </c>
      <c r="Y276" s="312">
        <v>0.3</v>
      </c>
      <c r="Z276" s="163">
        <f t="shared" si="130"/>
        <v>18.058252427184467</v>
      </c>
    </row>
    <row r="277" spans="2:26" s="88" customFormat="1" ht="12" customHeight="1">
      <c r="B277" s="387" t="s">
        <v>167</v>
      </c>
      <c r="C277" s="271" t="s">
        <v>167</v>
      </c>
      <c r="D277" s="549">
        <v>100</v>
      </c>
      <c r="E277" s="149">
        <v>100</v>
      </c>
      <c r="F277" s="149">
        <v>100.9</v>
      </c>
      <c r="G277" s="150">
        <v>691896</v>
      </c>
      <c r="H277" s="516">
        <v>156.6</v>
      </c>
      <c r="I277" s="517">
        <f t="shared" si="191"/>
        <v>4418.2375478927206</v>
      </c>
      <c r="J277" s="517">
        <f t="shared" ref="J277:J286" si="198">AVERAGE(I266:I277)</f>
        <v>2457.0988929579653</v>
      </c>
      <c r="K277" s="518">
        <f t="shared" si="194"/>
        <v>107.5134976450898</v>
      </c>
      <c r="L277" s="517">
        <f t="shared" ref="L277:M277" si="199">AVERAGE(L241:L276)</f>
        <v>8634.3435592022724</v>
      </c>
      <c r="M277" s="517">
        <f t="shared" si="199"/>
        <v>6529.9714892776528</v>
      </c>
      <c r="N277" s="517">
        <f t="shared" si="189"/>
        <v>7900.9868290988352</v>
      </c>
      <c r="O277" s="519">
        <f t="shared" si="190"/>
        <v>99.090589394260846</v>
      </c>
      <c r="P277" s="517">
        <v>360600</v>
      </c>
      <c r="Q277" s="517">
        <v>101500</v>
      </c>
      <c r="R277" s="517">
        <f t="shared" si="185"/>
        <v>231050</v>
      </c>
      <c r="S277" s="518">
        <f t="shared" si="196"/>
        <v>271.93550285411641</v>
      </c>
      <c r="T277" s="520">
        <v>101.1</v>
      </c>
      <c r="U277" s="152">
        <v>107.5134976450898</v>
      </c>
      <c r="V277" s="152">
        <v>106.05763367965442</v>
      </c>
      <c r="W277" s="115">
        <v>44183</v>
      </c>
      <c r="X277" s="155">
        <v>0.2</v>
      </c>
      <c r="Y277" s="397">
        <v>0.2</v>
      </c>
      <c r="Z277" s="320">
        <f t="shared" si="130"/>
        <v>12.038834951456312</v>
      </c>
    </row>
    <row r="278" spans="2:26" s="88" customFormat="1" ht="12" customHeight="1">
      <c r="B278" s="531" t="s">
        <v>397</v>
      </c>
      <c r="C278" s="262" t="s">
        <v>398</v>
      </c>
      <c r="D278" s="546">
        <v>100</v>
      </c>
      <c r="E278" s="129">
        <v>99.9</v>
      </c>
      <c r="F278" s="129">
        <v>102.2</v>
      </c>
      <c r="G278" s="401">
        <v>315649</v>
      </c>
      <c r="H278" s="400">
        <v>142.4</v>
      </c>
      <c r="I278" s="130">
        <f t="shared" si="191"/>
        <v>2216.6362359550562</v>
      </c>
      <c r="J278" s="130">
        <f t="shared" si="198"/>
        <v>2462.3604736409229</v>
      </c>
      <c r="K278" s="133">
        <f t="shared" si="194"/>
        <v>107.74372482234662</v>
      </c>
      <c r="L278" s="130">
        <f t="shared" ref="L278:M278" si="200">AVERAGE(L242:L277)</f>
        <v>8634.3434568225239</v>
      </c>
      <c r="M278" s="130">
        <f t="shared" si="200"/>
        <v>6529.9715952403676</v>
      </c>
      <c r="N278" s="130">
        <f t="shared" si="189"/>
        <v>7900.9867993247581</v>
      </c>
      <c r="O278" s="132">
        <f t="shared" si="190"/>
        <v>99.090589020847887</v>
      </c>
      <c r="P278" s="130">
        <v>370200</v>
      </c>
      <c r="Q278" s="130">
        <v>91220</v>
      </c>
      <c r="R278" s="130">
        <f>AVERAGE(P278:Q278)</f>
        <v>230710</v>
      </c>
      <c r="S278" s="133">
        <f t="shared" si="196"/>
        <v>271.53533808038605</v>
      </c>
      <c r="T278" s="159">
        <v>98</v>
      </c>
      <c r="U278" s="133">
        <v>107.74372482234662</v>
      </c>
      <c r="V278" s="133">
        <v>105.53189928767394</v>
      </c>
      <c r="W278" s="113">
        <v>43849</v>
      </c>
      <c r="X278" s="134">
        <v>0.2</v>
      </c>
      <c r="Y278" s="312">
        <v>0.2</v>
      </c>
      <c r="Z278" s="163">
        <f t="shared" si="130"/>
        <v>12.038834951456312</v>
      </c>
    </row>
    <row r="279" spans="2:26" s="88" customFormat="1" ht="12" customHeight="1">
      <c r="B279" s="531" t="s">
        <v>390</v>
      </c>
      <c r="C279" s="262" t="s">
        <v>390</v>
      </c>
      <c r="D279" s="288">
        <v>100.1</v>
      </c>
      <c r="E279" s="129">
        <v>100</v>
      </c>
      <c r="F279" s="129">
        <v>102.5</v>
      </c>
      <c r="G279" s="401">
        <v>311348</v>
      </c>
      <c r="H279" s="400">
        <v>153.5</v>
      </c>
      <c r="I279" s="401">
        <f t="shared" si="191"/>
        <v>2028.3257328990228</v>
      </c>
      <c r="J279" s="401">
        <f t="shared" si="198"/>
        <v>2469.6659150377523</v>
      </c>
      <c r="K279" s="394">
        <f t="shared" si="194"/>
        <v>108.06338373337599</v>
      </c>
      <c r="L279" s="401">
        <f t="shared" ref="L279:M279" si="201">AVERAGE(L243:L278)</f>
        <v>8634.3433010815861</v>
      </c>
      <c r="M279" s="401">
        <f t="shared" si="201"/>
        <v>6529.9716963965511</v>
      </c>
      <c r="N279" s="401">
        <f t="shared" si="189"/>
        <v>7900.9867331104006</v>
      </c>
      <c r="O279" s="402">
        <f t="shared" si="190"/>
        <v>99.090588190417478</v>
      </c>
      <c r="P279" s="401">
        <v>388100</v>
      </c>
      <c r="Q279" s="401">
        <v>107300</v>
      </c>
      <c r="R279" s="401">
        <f>AVERAGE(P279:Q279)</f>
        <v>247700</v>
      </c>
      <c r="S279" s="394">
        <f t="shared" si="196"/>
        <v>291.53180721473547</v>
      </c>
      <c r="T279" s="403">
        <v>98</v>
      </c>
      <c r="U279" s="133">
        <v>108.06338373337599</v>
      </c>
      <c r="V279" s="133">
        <v>105.77899562589964</v>
      </c>
      <c r="W279" s="113">
        <v>44246</v>
      </c>
      <c r="X279" s="134">
        <v>0.3</v>
      </c>
      <c r="Y279" s="312">
        <v>0.23571428571428571</v>
      </c>
      <c r="Z279" s="163">
        <f t="shared" si="130"/>
        <v>14.188626907073509</v>
      </c>
    </row>
    <row r="280" spans="2:26" s="88" customFormat="1" ht="12" customHeight="1">
      <c r="B280" s="265" t="s">
        <v>168</v>
      </c>
      <c r="C280" s="270" t="s">
        <v>168</v>
      </c>
      <c r="D280" s="288">
        <v>100.3</v>
      </c>
      <c r="E280" s="129">
        <v>99.9</v>
      </c>
      <c r="F280" s="129">
        <v>103.2</v>
      </c>
      <c r="G280" s="401">
        <v>329727</v>
      </c>
      <c r="H280" s="400">
        <v>157.9</v>
      </c>
      <c r="I280" s="401">
        <f t="shared" si="191"/>
        <v>2088.2013932868904</v>
      </c>
      <c r="J280" s="401">
        <f t="shared" si="198"/>
        <v>2473.708395315331</v>
      </c>
      <c r="K280" s="394">
        <f t="shared" si="194"/>
        <v>108.24026761666184</v>
      </c>
      <c r="L280" s="401">
        <f t="shared" ref="L280:M280" si="202">AVERAGE(L244:L279)</f>
        <v>8634.3430976826839</v>
      </c>
      <c r="M280" s="401">
        <f t="shared" si="202"/>
        <v>6529.9717858354452</v>
      </c>
      <c r="N280" s="401">
        <f t="shared" si="189"/>
        <v>7900.9866317631131</v>
      </c>
      <c r="O280" s="402">
        <f t="shared" si="190"/>
        <v>99.090586919365805</v>
      </c>
      <c r="P280" s="401">
        <v>406900</v>
      </c>
      <c r="Q280" s="401">
        <v>115600</v>
      </c>
      <c r="R280" s="401">
        <f>AVERAGE(P280:Q280)</f>
        <v>261250</v>
      </c>
      <c r="S280" s="394">
        <f t="shared" si="196"/>
        <v>307.47955040310717</v>
      </c>
      <c r="T280" s="404">
        <v>97.8</v>
      </c>
      <c r="U280" s="133">
        <v>108.24026761666184</v>
      </c>
      <c r="V280" s="133">
        <v>105.87032686767959</v>
      </c>
      <c r="W280" s="113">
        <v>44273</v>
      </c>
      <c r="X280" s="134">
        <v>0.3</v>
      </c>
      <c r="Y280" s="312">
        <v>0.3</v>
      </c>
      <c r="Z280" s="163">
        <f t="shared" si="130"/>
        <v>18.058252427184467</v>
      </c>
    </row>
    <row r="281" spans="2:26" s="88" customFormat="1" ht="12" customHeight="1">
      <c r="B281" s="265" t="s">
        <v>149</v>
      </c>
      <c r="C281" s="270" t="s">
        <v>149</v>
      </c>
      <c r="D281" s="288">
        <v>102.3</v>
      </c>
      <c r="E281" s="129">
        <v>99.9</v>
      </c>
      <c r="F281" s="129">
        <v>105.4</v>
      </c>
      <c r="G281" s="401">
        <v>323012</v>
      </c>
      <c r="H281" s="400">
        <v>166.4</v>
      </c>
      <c r="I281" s="401">
        <f t="shared" si="191"/>
        <v>1941.1778846153845</v>
      </c>
      <c r="J281" s="401">
        <f t="shared" si="198"/>
        <v>2472.1750387189704</v>
      </c>
      <c r="K281" s="394">
        <f t="shared" si="194"/>
        <v>108.17317364202191</v>
      </c>
      <c r="L281" s="401">
        <f t="shared" ref="L281:M281" si="203">AVERAGE(L245:L280)</f>
        <v>8634.3428595065179</v>
      </c>
      <c r="M281" s="401">
        <f t="shared" si="203"/>
        <v>6529.9718565069825</v>
      </c>
      <c r="N281" s="401">
        <f t="shared" si="189"/>
        <v>7900.9865012178852</v>
      </c>
      <c r="O281" s="402">
        <f t="shared" si="190"/>
        <v>99.090585282126824</v>
      </c>
      <c r="P281" s="401">
        <v>413600</v>
      </c>
      <c r="Q281" s="401">
        <v>117900</v>
      </c>
      <c r="R281" s="401">
        <f t="shared" ref="R281:R289" si="204">AVERAGE(P281:Q281)</f>
        <v>265750</v>
      </c>
      <c r="S281" s="394">
        <f t="shared" si="196"/>
        <v>312.77584887895011</v>
      </c>
      <c r="T281" s="403">
        <v>99</v>
      </c>
      <c r="U281" s="133">
        <v>108.17317364202191</v>
      </c>
      <c r="V281" s="133">
        <v>106.09086322528292</v>
      </c>
      <c r="W281" s="113">
        <v>44305</v>
      </c>
      <c r="X281" s="134">
        <v>0.3</v>
      </c>
      <c r="Y281" s="312">
        <v>0.3</v>
      </c>
      <c r="Z281" s="163">
        <f t="shared" si="130"/>
        <v>18.058252427184467</v>
      </c>
    </row>
    <row r="282" spans="2:26" s="88" customFormat="1" ht="12" customHeight="1">
      <c r="B282" s="265" t="s">
        <v>160</v>
      </c>
      <c r="C282" s="270" t="s">
        <v>160</v>
      </c>
      <c r="D282" s="288">
        <v>105.9</v>
      </c>
      <c r="E282" s="129">
        <v>99.9</v>
      </c>
      <c r="F282" s="129">
        <v>105.6</v>
      </c>
      <c r="G282" s="401">
        <v>318341</v>
      </c>
      <c r="H282" s="400">
        <v>143.6</v>
      </c>
      <c r="I282" s="401">
        <f t="shared" si="191"/>
        <v>2216.8593314763234</v>
      </c>
      <c r="J282" s="401">
        <f t="shared" si="198"/>
        <v>2472.272840151521</v>
      </c>
      <c r="K282" s="394">
        <f t="shared" si="194"/>
        <v>108.17745306851074</v>
      </c>
      <c r="L282" s="401">
        <f t="shared" ref="L282:M282" si="205">AVERAGE(L246:L281)</f>
        <v>8634.3426049952759</v>
      </c>
      <c r="M282" s="401">
        <f t="shared" si="205"/>
        <v>6529.9719022462341</v>
      </c>
      <c r="N282" s="401">
        <f>($L$13*L282+$M$13*M282)/100</f>
        <v>7900.9863513415248</v>
      </c>
      <c r="O282" s="402">
        <f t="shared" si="190"/>
        <v>99.090583402445574</v>
      </c>
      <c r="P282" s="401">
        <v>344200</v>
      </c>
      <c r="Q282" s="401">
        <v>122900</v>
      </c>
      <c r="R282" s="401">
        <f t="shared" si="204"/>
        <v>233550</v>
      </c>
      <c r="S282" s="394">
        <f t="shared" si="196"/>
        <v>274.87789089625142</v>
      </c>
      <c r="T282" s="404">
        <v>99</v>
      </c>
      <c r="U282" s="133">
        <v>108.17745306851074</v>
      </c>
      <c r="V282" s="133">
        <v>106.09417122195879</v>
      </c>
      <c r="W282" s="113">
        <v>44335</v>
      </c>
      <c r="X282" s="134">
        <v>0.3</v>
      </c>
      <c r="Y282" s="312">
        <v>0.3</v>
      </c>
      <c r="Z282" s="163">
        <f t="shared" si="130"/>
        <v>18.058252427184467</v>
      </c>
    </row>
    <row r="283" spans="2:26" s="88" customFormat="1" ht="12" customHeight="1">
      <c r="B283" s="265" t="s">
        <v>161</v>
      </c>
      <c r="C283" s="270" t="s">
        <v>161</v>
      </c>
      <c r="D283" s="288">
        <v>111</v>
      </c>
      <c r="E283" s="129">
        <v>99.9</v>
      </c>
      <c r="F283" s="129">
        <v>106</v>
      </c>
      <c r="G283" s="401">
        <v>498881</v>
      </c>
      <c r="H283" s="400">
        <v>161.4</v>
      </c>
      <c r="I283" s="401">
        <f t="shared" si="191"/>
        <v>3090.9603469640642</v>
      </c>
      <c r="J283" s="401">
        <f t="shared" si="198"/>
        <v>2464.2928867721434</v>
      </c>
      <c r="K283" s="394">
        <f>J283/$J$85*100</f>
        <v>107.82828002491836</v>
      </c>
      <c r="L283" s="401">
        <f>AVERAGE(L247:L282)</f>
        <v>8634.3423558281993</v>
      </c>
      <c r="M283" s="401">
        <f>AVERAGE(M247:M282)</f>
        <v>6529.9719185428348</v>
      </c>
      <c r="N283" s="401">
        <f>($L$13*L283+$M$13*M283)/100</f>
        <v>7900.986194686403</v>
      </c>
      <c r="O283" s="402">
        <f>N283/$N$85*100</f>
        <v>99.09058143774817</v>
      </c>
      <c r="P283" s="401">
        <v>355900</v>
      </c>
      <c r="Q283" s="401">
        <v>135400</v>
      </c>
      <c r="R283" s="401">
        <f t="shared" si="204"/>
        <v>245650</v>
      </c>
      <c r="S283" s="394">
        <f t="shared" si="196"/>
        <v>289.11904902018478</v>
      </c>
      <c r="T283" s="404">
        <v>99.2</v>
      </c>
      <c r="U283" s="394">
        <v>107.82828002491836</v>
      </c>
      <c r="V283" s="133">
        <v>105.86966045926188</v>
      </c>
      <c r="W283" s="113">
        <v>44365</v>
      </c>
      <c r="X283" s="134">
        <v>0.3</v>
      </c>
      <c r="Y283" s="312">
        <v>0.3</v>
      </c>
      <c r="Z283" s="163">
        <f t="shared" si="130"/>
        <v>18.058252427184467</v>
      </c>
    </row>
    <row r="284" spans="2:26" s="88" customFormat="1" ht="12" customHeight="1">
      <c r="B284" s="265" t="s">
        <v>152</v>
      </c>
      <c r="C284" s="270" t="s">
        <v>152</v>
      </c>
      <c r="D284" s="288">
        <v>115.9</v>
      </c>
      <c r="E284" s="129">
        <v>99.9</v>
      </c>
      <c r="F284" s="129">
        <v>108.4</v>
      </c>
      <c r="G284" s="130">
        <v>518467</v>
      </c>
      <c r="H284" s="400">
        <v>164.4</v>
      </c>
      <c r="I284" s="401">
        <f t="shared" si="191"/>
        <v>3153.6922141119221</v>
      </c>
      <c r="J284" s="401">
        <f t="shared" si="198"/>
        <v>2457.1509317564492</v>
      </c>
      <c r="K284" s="394">
        <f t="shared" ref="K284" si="206">J284/$J$85*100</f>
        <v>107.51577466912585</v>
      </c>
      <c r="L284" s="401">
        <f t="shared" ref="L284:M284" si="207">AVERAGE(L248:L283)</f>
        <v>8634.342133225442</v>
      </c>
      <c r="M284" s="401">
        <f t="shared" si="207"/>
        <v>6529.9719043185742</v>
      </c>
      <c r="N284" s="401">
        <f t="shared" ref="N284:N293" si="208">($L$13*L284+$M$13*M284)/100</f>
        <v>7900.9860447018746</v>
      </c>
      <c r="O284" s="402">
        <f t="shared" ref="O284:O294" si="209">N284/$N$85*100</f>
        <v>99.09057955671031</v>
      </c>
      <c r="P284" s="401">
        <v>354600</v>
      </c>
      <c r="Q284" s="401">
        <v>130500</v>
      </c>
      <c r="R284" s="401">
        <f t="shared" si="204"/>
        <v>242550</v>
      </c>
      <c r="S284" s="394">
        <f t="shared" si="196"/>
        <v>285.47048784793742</v>
      </c>
      <c r="T284" s="404">
        <v>99.2</v>
      </c>
      <c r="U284" s="133">
        <v>107.51577466912585</v>
      </c>
      <c r="V284" s="133">
        <v>105.62809381923427</v>
      </c>
      <c r="W284" s="113">
        <v>44396</v>
      </c>
      <c r="X284" s="134">
        <v>0.3</v>
      </c>
      <c r="Y284" s="312">
        <v>0.3</v>
      </c>
      <c r="Z284" s="163">
        <f t="shared" si="130"/>
        <v>18.058252427184467</v>
      </c>
    </row>
    <row r="285" spans="2:26" s="88" customFormat="1" ht="12" customHeight="1">
      <c r="B285" s="265" t="s">
        <v>153</v>
      </c>
      <c r="C285" s="270" t="s">
        <v>153</v>
      </c>
      <c r="D285" s="288">
        <v>120</v>
      </c>
      <c r="E285" s="129">
        <v>99.9</v>
      </c>
      <c r="F285" s="129">
        <v>108.8</v>
      </c>
      <c r="G285" s="401">
        <v>324339</v>
      </c>
      <c r="H285" s="400">
        <v>144.1</v>
      </c>
      <c r="I285" s="401">
        <f t="shared" ref="I285:I296" si="210">G285/H285</f>
        <v>2250.7911172796671</v>
      </c>
      <c r="J285" s="401">
        <f t="shared" si="198"/>
        <v>2454.6361741887135</v>
      </c>
      <c r="K285" s="394">
        <f>J285/$J$85*100</f>
        <v>107.40573824258577</v>
      </c>
      <c r="L285" s="401">
        <f t="shared" ref="L285:M285" si="211">AVERAGE(L249:L284)</f>
        <v>8634.3419523284847</v>
      </c>
      <c r="M285" s="401">
        <f t="shared" si="211"/>
        <v>6529.9718623997851</v>
      </c>
      <c r="N285" s="401">
        <f t="shared" si="208"/>
        <v>7900.9859122376911</v>
      </c>
      <c r="O285" s="402">
        <f t="shared" si="209"/>
        <v>99.090577895404664</v>
      </c>
      <c r="P285" s="401">
        <v>328100</v>
      </c>
      <c r="Q285" s="401">
        <v>96530</v>
      </c>
      <c r="R285" s="401">
        <f t="shared" si="204"/>
        <v>212315</v>
      </c>
      <c r="S285" s="394">
        <f t="shared" si="196"/>
        <v>249.88524686635674</v>
      </c>
      <c r="T285" s="404">
        <v>99.3</v>
      </c>
      <c r="U285" s="133">
        <v>107.40573824258577</v>
      </c>
      <c r="V285" s="133">
        <v>105.56573566151881</v>
      </c>
      <c r="W285" s="113">
        <v>44427</v>
      </c>
      <c r="X285" s="134">
        <v>0.2</v>
      </c>
      <c r="Y285" s="312">
        <v>0.25806451612903225</v>
      </c>
      <c r="Z285" s="163">
        <f t="shared" si="130"/>
        <v>15.533980582524274</v>
      </c>
    </row>
    <row r="286" spans="2:26" s="88" customFormat="1" ht="12" customHeight="1">
      <c r="B286" s="265" t="s">
        <v>164</v>
      </c>
      <c r="C286" s="270" t="s">
        <v>164</v>
      </c>
      <c r="D286" s="288">
        <v>123.5</v>
      </c>
      <c r="E286" s="129">
        <v>99.9</v>
      </c>
      <c r="F286" s="129">
        <v>108.9</v>
      </c>
      <c r="G286" s="401">
        <v>316382</v>
      </c>
      <c r="H286" s="400">
        <v>155.30000000000001</v>
      </c>
      <c r="I286" s="401">
        <f t="shared" si="210"/>
        <v>2037.2311654861558</v>
      </c>
      <c r="J286" s="401">
        <f t="shared" si="198"/>
        <v>2456.7370441968437</v>
      </c>
      <c r="K286" s="394">
        <f>J286/$J$85*100</f>
        <v>107.49766449077995</v>
      </c>
      <c r="L286" s="401">
        <f t="shared" ref="L286:M286" si="212">AVERAGE(L250:L285)</f>
        <v>8634.3418219273917</v>
      </c>
      <c r="M286" s="401">
        <f t="shared" si="212"/>
        <v>6529.9717998625893</v>
      </c>
      <c r="N286" s="401">
        <f t="shared" si="208"/>
        <v>7900.9858054866199</v>
      </c>
      <c r="O286" s="402">
        <f t="shared" si="209"/>
        <v>99.090576556581198</v>
      </c>
      <c r="P286" s="401">
        <v>318100</v>
      </c>
      <c r="Q286" s="401">
        <v>88970</v>
      </c>
      <c r="R286" s="401">
        <f t="shared" si="204"/>
        <v>203535</v>
      </c>
      <c r="S286" s="394">
        <f t="shared" si="196"/>
        <v>239.55158006237863</v>
      </c>
      <c r="T286" s="404">
        <v>98.2</v>
      </c>
      <c r="U286" s="133">
        <v>107.49766449077995</v>
      </c>
      <c r="V286" s="133">
        <v>105.38709465137291</v>
      </c>
      <c r="W286" s="113">
        <v>44460</v>
      </c>
      <c r="X286" s="134">
        <v>0.2</v>
      </c>
      <c r="Y286" s="312">
        <v>0.2</v>
      </c>
      <c r="Z286" s="163">
        <f t="shared" si="130"/>
        <v>12.038834951456312</v>
      </c>
    </row>
    <row r="287" spans="2:26" s="88" customFormat="1" ht="12" customHeight="1">
      <c r="B287" s="265" t="s">
        <v>165</v>
      </c>
      <c r="C287" s="270" t="s">
        <v>165</v>
      </c>
      <c r="D287" s="288">
        <v>124.4</v>
      </c>
      <c r="E287" s="129">
        <v>99.9</v>
      </c>
      <c r="F287" s="129">
        <v>109</v>
      </c>
      <c r="G287" s="130">
        <v>315789</v>
      </c>
      <c r="H287" s="400">
        <v>158.6</v>
      </c>
      <c r="I287" s="401">
        <f t="shared" si="210"/>
        <v>1991.1034047919295</v>
      </c>
      <c r="J287" s="401">
        <f>AVERAGE(I276:I287)</f>
        <v>2459.9199889676534</v>
      </c>
      <c r="K287" s="394">
        <f t="shared" ref="K287:K294" si="213">J287/$J$85*100</f>
        <v>107.63693830108596</v>
      </c>
      <c r="L287" s="401">
        <f t="shared" ref="L287:M287" si="214">AVERAGE(L251:L286)</f>
        <v>8634.3417439535351</v>
      </c>
      <c r="M287" s="401">
        <f t="shared" si="214"/>
        <v>6529.9717262127924</v>
      </c>
      <c r="N287" s="401">
        <f t="shared" si="208"/>
        <v>7900.9857290196633</v>
      </c>
      <c r="O287" s="402">
        <f t="shared" si="209"/>
        <v>99.090575597567351</v>
      </c>
      <c r="P287" s="401">
        <v>309000</v>
      </c>
      <c r="Q287" s="401">
        <v>88810</v>
      </c>
      <c r="R287" s="401">
        <f t="shared" si="204"/>
        <v>198905</v>
      </c>
      <c r="S287" s="394">
        <f t="shared" ref="S287:S298" si="215">R287/$R$85*100</f>
        <v>234.10227740834461</v>
      </c>
      <c r="T287" s="404">
        <v>97.7</v>
      </c>
      <c r="U287" s="133">
        <v>107.63693830108596</v>
      </c>
      <c r="V287" s="133">
        <v>105.38125330673945</v>
      </c>
      <c r="W287" s="113">
        <v>44487</v>
      </c>
      <c r="X287" s="134">
        <v>0.3</v>
      </c>
      <c r="Y287" s="312">
        <v>0.24516129032258066</v>
      </c>
      <c r="Z287" s="163">
        <f t="shared" si="130"/>
        <v>14.757281553398061</v>
      </c>
    </row>
    <row r="288" spans="2:26" ht="12" customHeight="1">
      <c r="B288" s="265" t="s">
        <v>166</v>
      </c>
      <c r="C288" s="270" t="s">
        <v>166</v>
      </c>
      <c r="D288" s="288">
        <v>125.4</v>
      </c>
      <c r="E288" s="129">
        <v>99.9</v>
      </c>
      <c r="F288" s="129">
        <v>109.8</v>
      </c>
      <c r="G288" s="130">
        <v>341656</v>
      </c>
      <c r="H288" s="400">
        <v>162.80000000000001</v>
      </c>
      <c r="I288" s="401">
        <f t="shared" si="210"/>
        <v>2098.6240786240783</v>
      </c>
      <c r="J288" s="401">
        <f>AVERAGE(I277:I288)</f>
        <v>2460.9867044486014</v>
      </c>
      <c r="K288" s="394">
        <f t="shared" si="213"/>
        <v>107.68361379822511</v>
      </c>
      <c r="L288" s="401">
        <f t="shared" ref="L288:M288" si="216">AVERAGE(L252:L287)</f>
        <v>8634.3417121767707</v>
      </c>
      <c r="M288" s="401">
        <f t="shared" si="216"/>
        <v>6529.9716501562825</v>
      </c>
      <c r="N288" s="401">
        <f t="shared" si="208"/>
        <v>7900.9856818117642</v>
      </c>
      <c r="O288" s="402">
        <f t="shared" si="209"/>
        <v>99.090575005507304</v>
      </c>
      <c r="P288" s="401">
        <v>266300</v>
      </c>
      <c r="Q288" s="401">
        <v>94000</v>
      </c>
      <c r="R288" s="401">
        <f t="shared" si="204"/>
        <v>180150</v>
      </c>
      <c r="S288" s="394">
        <f t="shared" si="215"/>
        <v>212.02848231624785</v>
      </c>
      <c r="T288" s="404">
        <v>96.8</v>
      </c>
      <c r="U288" s="133">
        <v>107.68361379822511</v>
      </c>
      <c r="V288" s="133">
        <v>105.21303346602799</v>
      </c>
      <c r="W288" s="113">
        <v>44518</v>
      </c>
      <c r="X288" s="134">
        <v>0.3</v>
      </c>
      <c r="Y288" s="312">
        <v>0.3</v>
      </c>
      <c r="Z288" s="163">
        <f t="shared" si="130"/>
        <v>18.058252427184467</v>
      </c>
    </row>
    <row r="289" spans="2:29" s="88" customFormat="1" ht="12" customHeight="1">
      <c r="B289" s="531" t="s">
        <v>167</v>
      </c>
      <c r="C289" s="270" t="s">
        <v>167</v>
      </c>
      <c r="D289" s="546">
        <v>126.8</v>
      </c>
      <c r="E289" s="129">
        <v>100</v>
      </c>
      <c r="F289" s="129">
        <v>110.1</v>
      </c>
      <c r="G289" s="130">
        <v>705226</v>
      </c>
      <c r="H289" s="400">
        <v>160.80000000000001</v>
      </c>
      <c r="I289" s="401">
        <f t="shared" si="210"/>
        <v>4385.7338308457711</v>
      </c>
      <c r="J289" s="401">
        <f t="shared" ref="J289:J298" si="217">AVERAGE(I278:I289)</f>
        <v>2458.2780613613554</v>
      </c>
      <c r="K289" s="394">
        <f t="shared" si="213"/>
        <v>107.56509366335523</v>
      </c>
      <c r="L289" s="401">
        <f t="shared" ref="L289:M289" si="218">AVERAGE(L253:L288)</f>
        <v>8634.3417167631142</v>
      </c>
      <c r="M289" s="401">
        <f t="shared" si="218"/>
        <v>6529.9715778883192</v>
      </c>
      <c r="N289" s="401">
        <f t="shared" si="208"/>
        <v>7900.9856596149993</v>
      </c>
      <c r="O289" s="402">
        <f t="shared" si="209"/>
        <v>99.090574727125571</v>
      </c>
      <c r="P289" s="401">
        <v>284200</v>
      </c>
      <c r="Q289" s="401">
        <v>95740</v>
      </c>
      <c r="R289" s="401">
        <f t="shared" si="204"/>
        <v>189970</v>
      </c>
      <c r="S289" s="394">
        <f t="shared" si="215"/>
        <v>223.58618254575413</v>
      </c>
      <c r="T289" s="404">
        <v>99.3</v>
      </c>
      <c r="U289" s="133">
        <v>107.56509366335523</v>
      </c>
      <c r="V289" s="133">
        <v>105.68891740177358</v>
      </c>
      <c r="W289" s="113">
        <v>44550</v>
      </c>
      <c r="X289" s="134">
        <v>0.3</v>
      </c>
      <c r="Y289" s="312">
        <v>0.3</v>
      </c>
      <c r="Z289" s="163">
        <f t="shared" si="130"/>
        <v>18.058252427184467</v>
      </c>
    </row>
    <row r="290" spans="2:29" s="88" customFormat="1" ht="12" customHeight="1">
      <c r="B290" s="439" t="s">
        <v>399</v>
      </c>
      <c r="C290" s="264" t="s">
        <v>400</v>
      </c>
      <c r="D290" s="441">
        <v>127.6</v>
      </c>
      <c r="E290" s="139">
        <v>100.2</v>
      </c>
      <c r="F290" s="139">
        <v>111.3</v>
      </c>
      <c r="G290" s="547">
        <v>317000</v>
      </c>
      <c r="H290" s="548">
        <v>144.19999999999999</v>
      </c>
      <c r="I290" s="140">
        <f t="shared" si="210"/>
        <v>2198.3356449375869</v>
      </c>
      <c r="J290" s="140">
        <f t="shared" si="217"/>
        <v>2456.7530121098994</v>
      </c>
      <c r="K290" s="142">
        <f t="shared" si="213"/>
        <v>107.49836318719288</v>
      </c>
      <c r="L290" s="140">
        <f t="shared" ref="L290:M290" si="219">AVERAGE(L254:L289)</f>
        <v>8634.3417487348852</v>
      </c>
      <c r="M290" s="140">
        <f t="shared" si="219"/>
        <v>6529.9715133034442</v>
      </c>
      <c r="N290" s="140">
        <f t="shared" si="208"/>
        <v>7900.9856579375573</v>
      </c>
      <c r="O290" s="143">
        <f t="shared" si="209"/>
        <v>99.09057470608785</v>
      </c>
      <c r="P290" s="140">
        <v>273600</v>
      </c>
      <c r="Q290" s="140">
        <v>81340</v>
      </c>
      <c r="R290" s="140">
        <f>AVERAGE(P290:Q290)</f>
        <v>177470</v>
      </c>
      <c r="S290" s="142">
        <f t="shared" si="215"/>
        <v>208.87424233507917</v>
      </c>
      <c r="T290" s="440">
        <v>104.2</v>
      </c>
      <c r="U290" s="142">
        <v>109.5583738412472</v>
      </c>
      <c r="V290" s="142">
        <v>108.34202297928408</v>
      </c>
      <c r="W290" s="289">
        <v>44581</v>
      </c>
      <c r="X290" s="145">
        <v>0.3</v>
      </c>
      <c r="Y290" s="442">
        <v>0.3</v>
      </c>
      <c r="Z290" s="319">
        <f t="shared" si="130"/>
        <v>18.058252427184467</v>
      </c>
    </row>
    <row r="291" spans="2:29" s="88" customFormat="1" ht="12" customHeight="1">
      <c r="B291" s="531" t="s">
        <v>147</v>
      </c>
      <c r="C291" s="262" t="s">
        <v>147</v>
      </c>
      <c r="D291" s="288">
        <v>127.5</v>
      </c>
      <c r="E291" s="129">
        <v>100.3</v>
      </c>
      <c r="F291" s="129">
        <v>111.5</v>
      </c>
      <c r="G291" s="401">
        <v>313495</v>
      </c>
      <c r="H291" s="400">
        <v>155.1</v>
      </c>
      <c r="I291" s="401">
        <f t="shared" si="210"/>
        <v>2021.2443584784012</v>
      </c>
      <c r="J291" s="401">
        <f t="shared" si="217"/>
        <v>2456.1628975748476</v>
      </c>
      <c r="K291" s="394">
        <f t="shared" si="213"/>
        <v>107.47254197264738</v>
      </c>
      <c r="L291" s="401">
        <f t="shared" ref="L291:M291" si="220">AVERAGE(L255:L290)</f>
        <v>8634.3418006112806</v>
      </c>
      <c r="M291" s="401">
        <f t="shared" si="220"/>
        <v>6529.9714580904429</v>
      </c>
      <c r="N291" s="401">
        <f t="shared" si="208"/>
        <v>7900.9856724941592</v>
      </c>
      <c r="O291" s="402">
        <f t="shared" si="209"/>
        <v>99.090574888650139</v>
      </c>
      <c r="P291" s="130">
        <v>244400</v>
      </c>
      <c r="Q291" s="130">
        <v>96810</v>
      </c>
      <c r="R291" s="401">
        <f>AVERAGE(P291:Q291)</f>
        <v>170605</v>
      </c>
      <c r="S291" s="394">
        <f t="shared" si="215"/>
        <v>200.79444477137645</v>
      </c>
      <c r="T291" s="403">
        <v>109</v>
      </c>
      <c r="U291" s="133">
        <v>109.53205781007856</v>
      </c>
      <c r="V291" s="133">
        <v>109.41128068719073</v>
      </c>
      <c r="W291" s="113">
        <v>44613</v>
      </c>
      <c r="X291" s="134">
        <v>0.3</v>
      </c>
      <c r="Y291" s="312">
        <v>0.3</v>
      </c>
      <c r="Z291" s="163">
        <f t="shared" si="130"/>
        <v>18.058252427184467</v>
      </c>
    </row>
    <row r="292" spans="2:29" s="88" customFormat="1" ht="12" customHeight="1">
      <c r="B292" s="531" t="s">
        <v>168</v>
      </c>
      <c r="C292" s="270" t="s">
        <v>168</v>
      </c>
      <c r="D292" s="288">
        <v>129.4</v>
      </c>
      <c r="E292" s="129">
        <v>100.3</v>
      </c>
      <c r="F292" s="129">
        <v>112.2</v>
      </c>
      <c r="G292" s="401">
        <v>330520</v>
      </c>
      <c r="H292" s="400">
        <v>158</v>
      </c>
      <c r="I292" s="401">
        <f t="shared" si="210"/>
        <v>2091.8987341772154</v>
      </c>
      <c r="J292" s="401">
        <f t="shared" si="217"/>
        <v>2456.4710093157078</v>
      </c>
      <c r="K292" s="394">
        <f t="shared" si="213"/>
        <v>107.48602379506009</v>
      </c>
      <c r="L292" s="401">
        <f t="shared" ref="L292:M292" si="221">AVERAGE(L256:L291)</f>
        <v>8634.3418655579644</v>
      </c>
      <c r="M292" s="401">
        <f t="shared" si="221"/>
        <v>6529.9714124880302</v>
      </c>
      <c r="N292" s="401">
        <f t="shared" si="208"/>
        <v>7900.9856989153732</v>
      </c>
      <c r="O292" s="402">
        <f t="shared" si="209"/>
        <v>99.090575220013008</v>
      </c>
      <c r="P292" s="130">
        <v>241400</v>
      </c>
      <c r="Q292" s="130">
        <v>99580</v>
      </c>
      <c r="R292" s="401">
        <f>AVERAGE(P292:Q292)</f>
        <v>170490</v>
      </c>
      <c r="S292" s="394">
        <f t="shared" si="215"/>
        <v>200.65909492143822</v>
      </c>
      <c r="T292" s="404">
        <v>109</v>
      </c>
      <c r="U292" s="133">
        <v>109.5457979871023</v>
      </c>
      <c r="V292" s="133">
        <v>109.42190184403007</v>
      </c>
      <c r="W292" s="113">
        <v>44638</v>
      </c>
      <c r="X292" s="134">
        <v>0.5</v>
      </c>
      <c r="Y292" s="312">
        <v>0.39032258064516123</v>
      </c>
      <c r="Z292" s="163">
        <f t="shared" si="130"/>
        <v>23.49514563106796</v>
      </c>
    </row>
    <row r="293" spans="2:29" s="88" customFormat="1" ht="12" customHeight="1">
      <c r="B293" s="531" t="s">
        <v>149</v>
      </c>
      <c r="C293" s="270" t="s">
        <v>149</v>
      </c>
      <c r="D293" s="288">
        <v>131.5</v>
      </c>
      <c r="E293" s="129">
        <v>100.5</v>
      </c>
      <c r="F293" s="129">
        <v>114</v>
      </c>
      <c r="G293" s="401">
        <v>327652</v>
      </c>
      <c r="H293" s="400">
        <v>164.4</v>
      </c>
      <c r="I293" s="401">
        <f t="shared" si="210"/>
        <v>1993.0170316301703</v>
      </c>
      <c r="J293" s="401">
        <f t="shared" si="217"/>
        <v>2460.790938233607</v>
      </c>
      <c r="K293" s="394">
        <f t="shared" si="213"/>
        <v>107.67504779766442</v>
      </c>
      <c r="L293" s="401">
        <f t="shared" ref="L293:M293" si="222">AVERAGE(L257:L292)</f>
        <v>8634.3419397621929</v>
      </c>
      <c r="M293" s="401">
        <f t="shared" si="222"/>
        <v>6529.9713760640998</v>
      </c>
      <c r="N293" s="401">
        <f t="shared" si="208"/>
        <v>7900.9857345665778</v>
      </c>
      <c r="O293" s="402">
        <f t="shared" si="209"/>
        <v>99.090575667134232</v>
      </c>
      <c r="P293" s="130">
        <v>257200</v>
      </c>
      <c r="Q293" s="130">
        <v>101300</v>
      </c>
      <c r="R293" s="401">
        <f t="shared" ref="R293:R313" si="223">AVERAGE(P293:Q293)</f>
        <v>179250</v>
      </c>
      <c r="S293" s="394">
        <f t="shared" si="215"/>
        <v>210.96922262107927</v>
      </c>
      <c r="T293" s="403">
        <v>109.2</v>
      </c>
      <c r="U293" s="133">
        <v>109.7384442909928</v>
      </c>
      <c r="V293" s="133">
        <v>109.61621743693745</v>
      </c>
      <c r="W293" s="113">
        <v>44669</v>
      </c>
      <c r="X293" s="134">
        <v>0.5</v>
      </c>
      <c r="Y293" s="312">
        <v>0.5</v>
      </c>
      <c r="Z293" s="163">
        <f t="shared" si="130"/>
        <v>30.097087378640779</v>
      </c>
    </row>
    <row r="294" spans="2:29" s="88" customFormat="1" ht="12" customHeight="1">
      <c r="B294" s="531" t="s">
        <v>160</v>
      </c>
      <c r="C294" s="270" t="s">
        <v>160</v>
      </c>
      <c r="D294" s="288">
        <v>132.9</v>
      </c>
      <c r="E294" s="129">
        <v>100.5</v>
      </c>
      <c r="F294" s="129">
        <v>113.8</v>
      </c>
      <c r="G294" s="401">
        <v>316049</v>
      </c>
      <c r="H294" s="400">
        <v>142.69999999999999</v>
      </c>
      <c r="I294" s="401">
        <f t="shared" si="210"/>
        <v>2214.7792571829013</v>
      </c>
      <c r="J294" s="401">
        <f t="shared" si="217"/>
        <v>2460.6175987091551</v>
      </c>
      <c r="K294" s="394">
        <f t="shared" si="213"/>
        <v>107.6674631055678</v>
      </c>
      <c r="L294" s="401">
        <f t="shared" ref="L294:M294" si="224">AVERAGE(L258:L293)</f>
        <v>8634.342019805852</v>
      </c>
      <c r="M294" s="401">
        <f t="shared" si="224"/>
        <v>6529.9713483666674</v>
      </c>
      <c r="N294" s="401">
        <f>($L$13*L294+$M$13*M294)/100</f>
        <v>7900.9857770633334</v>
      </c>
      <c r="O294" s="402">
        <f t="shared" si="209"/>
        <v>99.090576200109254</v>
      </c>
      <c r="P294" s="130">
        <v>194400</v>
      </c>
      <c r="Q294" s="130">
        <v>115900</v>
      </c>
      <c r="R294" s="401">
        <f t="shared" si="223"/>
        <v>155150</v>
      </c>
      <c r="S294" s="394">
        <f t="shared" si="215"/>
        <v>182.60460189489788</v>
      </c>
      <c r="T294" s="404">
        <v>109.1</v>
      </c>
      <c r="U294" s="133">
        <v>109.73071425206429</v>
      </c>
      <c r="V294" s="133">
        <v>109.58754211684568</v>
      </c>
      <c r="W294" s="113">
        <v>44699</v>
      </c>
      <c r="X294" s="134">
        <v>0.5</v>
      </c>
      <c r="Y294" s="312">
        <v>0.5</v>
      </c>
      <c r="Z294" s="163">
        <v>30.097087378640779</v>
      </c>
    </row>
    <row r="295" spans="2:29" s="88" customFormat="1" ht="12" customHeight="1">
      <c r="B295" s="531" t="s">
        <v>161</v>
      </c>
      <c r="C295" s="270" t="s">
        <v>161</v>
      </c>
      <c r="D295" s="288">
        <v>133.9</v>
      </c>
      <c r="E295" s="129">
        <v>100.6</v>
      </c>
      <c r="F295" s="129">
        <v>114.9</v>
      </c>
      <c r="G295" s="401">
        <v>508343</v>
      </c>
      <c r="H295" s="400">
        <v>163.19999999999999</v>
      </c>
      <c r="I295" s="401">
        <f t="shared" si="210"/>
        <v>3114.8468137254904</v>
      </c>
      <c r="J295" s="401">
        <f t="shared" si="217"/>
        <v>2462.6081376059406</v>
      </c>
      <c r="K295" s="394">
        <f>J295/$J$85*100</f>
        <v>107.754561675188</v>
      </c>
      <c r="L295" s="401">
        <f>AVERAGE(L259:L294)</f>
        <v>8634.3421025044172</v>
      </c>
      <c r="M295" s="401">
        <f>AVERAGE(M259:M294)</f>
        <v>6529.9713289528363</v>
      </c>
      <c r="N295" s="401">
        <f>($L$13*L295+$M$13*M295)/100</f>
        <v>7900.9858241765514</v>
      </c>
      <c r="O295" s="402">
        <f>N295/$N$85*100</f>
        <v>99.090576790981828</v>
      </c>
      <c r="P295" s="130">
        <v>201100</v>
      </c>
      <c r="Q295" s="130">
        <v>117300</v>
      </c>
      <c r="R295" s="401">
        <f t="shared" si="223"/>
        <v>159200</v>
      </c>
      <c r="S295" s="394">
        <f t="shared" si="215"/>
        <v>187.3712705231566</v>
      </c>
      <c r="T295" s="404">
        <v>109.9</v>
      </c>
      <c r="U295" s="394">
        <v>109.81948190739006</v>
      </c>
      <c r="V295" s="133">
        <v>109.8377595144125</v>
      </c>
      <c r="W295" s="113">
        <v>44732</v>
      </c>
      <c r="X295" s="134">
        <v>0.5</v>
      </c>
      <c r="Y295" s="312">
        <v>0.5</v>
      </c>
      <c r="Z295" s="163">
        <v>30.097087378640779</v>
      </c>
    </row>
    <row r="296" spans="2:29" s="88" customFormat="1" ht="12" customHeight="1">
      <c r="B296" s="531" t="s">
        <v>152</v>
      </c>
      <c r="C296" s="270" t="s">
        <v>152</v>
      </c>
      <c r="D296" s="288">
        <v>134.5</v>
      </c>
      <c r="E296" s="129">
        <v>100.8</v>
      </c>
      <c r="F296" s="129">
        <v>119.4</v>
      </c>
      <c r="G296" s="401">
        <v>538881</v>
      </c>
      <c r="H296" s="400">
        <v>163</v>
      </c>
      <c r="I296" s="401">
        <f t="shared" si="210"/>
        <v>3306.0184049079753</v>
      </c>
      <c r="J296" s="401">
        <f t="shared" si="217"/>
        <v>2475.3019868389451</v>
      </c>
      <c r="K296" s="394">
        <f t="shared" ref="K296" si="225">J296/$J$85*100</f>
        <v>108.30999724741149</v>
      </c>
      <c r="L296" s="401">
        <f t="shared" ref="L296:M296" si="226">AVERAGE(L260:L295)</f>
        <v>8634.3421848026246</v>
      </c>
      <c r="M296" s="401">
        <f t="shared" si="226"/>
        <v>6529.9713173862738</v>
      </c>
      <c r="N296" s="401">
        <f t="shared" ref="N296:N301" si="227">($L$13*L296+$M$13*M296)/100</f>
        <v>7900.9858737636405</v>
      </c>
      <c r="O296" s="402">
        <f t="shared" ref="O296:O301" si="228">N296/$N$85*100</f>
        <v>99.090577412880592</v>
      </c>
      <c r="P296" s="130">
        <v>182000</v>
      </c>
      <c r="Q296" s="130">
        <v>84830</v>
      </c>
      <c r="R296" s="401">
        <f t="shared" si="223"/>
        <v>133415</v>
      </c>
      <c r="S296" s="394">
        <f t="shared" si="215"/>
        <v>157.02348025657625</v>
      </c>
      <c r="T296" s="404">
        <v>110</v>
      </c>
      <c r="U296" s="133">
        <v>110.3855613923439</v>
      </c>
      <c r="V296" s="133">
        <v>110.29803895628183</v>
      </c>
      <c r="W296" s="113">
        <v>44761</v>
      </c>
      <c r="X296" s="134">
        <v>0.6</v>
      </c>
      <c r="Y296" s="312">
        <v>0.54193548387096779</v>
      </c>
      <c r="Z296" s="163">
        <v>32.621359223300978</v>
      </c>
    </row>
    <row r="297" spans="2:29" s="88" customFormat="1" ht="12" customHeight="1">
      <c r="B297" s="531" t="s">
        <v>153</v>
      </c>
      <c r="C297" s="270" t="s">
        <v>153</v>
      </c>
      <c r="D297" s="288">
        <v>135.19999999999999</v>
      </c>
      <c r="E297" s="129">
        <v>101</v>
      </c>
      <c r="F297" s="129">
        <v>119.5</v>
      </c>
      <c r="G297" s="401">
        <v>324790</v>
      </c>
      <c r="H297" s="400">
        <v>147.80000000000001</v>
      </c>
      <c r="I297" s="401">
        <f t="shared" ref="I297:I313" si="229">G297/H297</f>
        <v>2197.4966170500675</v>
      </c>
      <c r="J297" s="401">
        <f t="shared" si="217"/>
        <v>2470.8607784864785</v>
      </c>
      <c r="K297" s="394">
        <f>J297/$J$85*100</f>
        <v>108.11566650837905</v>
      </c>
      <c r="L297" s="401">
        <f t="shared" ref="L297:M297" si="230">AVERAGE(L261:L296)</f>
        <v>8634.3422637640979</v>
      </c>
      <c r="M297" s="401">
        <f t="shared" si="230"/>
        <v>6529.9713131796852</v>
      </c>
      <c r="N297" s="401">
        <f t="shared" si="227"/>
        <v>7900.985923741714</v>
      </c>
      <c r="O297" s="402">
        <f t="shared" si="228"/>
        <v>99.090578039682896</v>
      </c>
      <c r="P297" s="130">
        <v>159900</v>
      </c>
      <c r="Q297" s="130">
        <v>38600</v>
      </c>
      <c r="R297" s="401">
        <f t="shared" si="223"/>
        <v>99250</v>
      </c>
      <c r="S297" s="394">
        <f t="shared" si="215"/>
        <v>116.81280527275936</v>
      </c>
      <c r="T297" s="404">
        <v>109.8</v>
      </c>
      <c r="U297" s="133">
        <v>110.18750665807147</v>
      </c>
      <c r="V297" s="133">
        <v>110.09954264668926</v>
      </c>
      <c r="W297" s="113">
        <v>44792</v>
      </c>
      <c r="X297" s="134">
        <v>0.5</v>
      </c>
      <c r="Y297" s="312">
        <v>0.55806451612903218</v>
      </c>
      <c r="Z297" s="163">
        <v>33.592233009708735</v>
      </c>
    </row>
    <row r="298" spans="2:29" s="88" customFormat="1" ht="12" customHeight="1">
      <c r="B298" s="531" t="s">
        <v>164</v>
      </c>
      <c r="C298" s="270" t="s">
        <v>164</v>
      </c>
      <c r="D298" s="288">
        <v>136.30000000000001</v>
      </c>
      <c r="E298" s="129">
        <v>101.4</v>
      </c>
      <c r="F298" s="129">
        <v>119.6</v>
      </c>
      <c r="G298" s="401">
        <v>318743</v>
      </c>
      <c r="H298" s="400">
        <v>158.80000000000001</v>
      </c>
      <c r="I298" s="401">
        <f t="shared" si="229"/>
        <v>2007.1977329974809</v>
      </c>
      <c r="J298" s="401">
        <f t="shared" si="217"/>
        <v>2468.3579924457554</v>
      </c>
      <c r="K298" s="394">
        <f>J298/$J$85*100</f>
        <v>108.00615391128065</v>
      </c>
      <c r="L298" s="401">
        <f t="shared" ref="L298:M298" si="231">AVERAGE(L262:L297)</f>
        <v>8634.3423367069172</v>
      </c>
      <c r="M298" s="401">
        <f t="shared" si="231"/>
        <v>6529.9713157314918</v>
      </c>
      <c r="N298" s="401">
        <f t="shared" si="227"/>
        <v>7900.9859721538323</v>
      </c>
      <c r="O298" s="402">
        <f t="shared" si="228"/>
        <v>99.090578646845699</v>
      </c>
      <c r="P298" s="130">
        <v>148100</v>
      </c>
      <c r="Q298" s="130">
        <v>17300</v>
      </c>
      <c r="R298" s="401">
        <f t="shared" si="223"/>
        <v>82700</v>
      </c>
      <c r="S298" s="394">
        <f t="shared" si="215"/>
        <v>97.334196433825696</v>
      </c>
      <c r="T298" s="404">
        <v>115.3</v>
      </c>
      <c r="U298" s="133">
        <v>110.07589545118881</v>
      </c>
      <c r="V298" s="133">
        <v>111.26176718376895</v>
      </c>
      <c r="W298" s="113">
        <v>44824</v>
      </c>
      <c r="X298" s="134">
        <v>0.6</v>
      </c>
      <c r="Y298" s="312">
        <v>0.53666666666666663</v>
      </c>
      <c r="Z298" s="163">
        <v>32.3042071197411</v>
      </c>
    </row>
    <row r="299" spans="2:29" s="88" customFormat="1" ht="12" customHeight="1">
      <c r="B299" s="531" t="s">
        <v>165</v>
      </c>
      <c r="C299" s="270" t="s">
        <v>165</v>
      </c>
      <c r="D299" s="288">
        <v>137.1</v>
      </c>
      <c r="E299" s="129">
        <v>101.7</v>
      </c>
      <c r="F299" s="129">
        <v>120.1</v>
      </c>
      <c r="G299" s="401">
        <v>319138</v>
      </c>
      <c r="H299" s="400">
        <v>159.19999999999999</v>
      </c>
      <c r="I299" s="401">
        <f t="shared" si="229"/>
        <v>2004.63567839196</v>
      </c>
      <c r="J299" s="401">
        <f>AVERAGE(I288:I299)</f>
        <v>2469.4856819124248</v>
      </c>
      <c r="K299" s="394">
        <f t="shared" ref="K299:K308" si="232">J299/$J$85*100</f>
        <v>108.05549740297593</v>
      </c>
      <c r="L299" s="401">
        <f t="shared" ref="L299:M299" si="233">AVERAGE(L263:L298)</f>
        <v>8634.3424013409622</v>
      </c>
      <c r="M299" s="401">
        <f t="shared" si="233"/>
        <v>6529.9713242536891</v>
      </c>
      <c r="N299" s="401">
        <f t="shared" si="227"/>
        <v>7900.9860172333501</v>
      </c>
      <c r="O299" s="402">
        <f t="shared" si="228"/>
        <v>99.090579212212546</v>
      </c>
      <c r="P299" s="130">
        <v>166300</v>
      </c>
      <c r="Q299" s="130">
        <v>19470</v>
      </c>
      <c r="R299" s="401">
        <f t="shared" si="223"/>
        <v>92885</v>
      </c>
      <c r="S299" s="394">
        <f t="shared" ref="S299:S313" si="234">R299/$R$85*100</f>
        <v>109.32148531748366</v>
      </c>
      <c r="T299" s="404">
        <v>116.3</v>
      </c>
      <c r="U299" s="133">
        <v>110.12618452117557</v>
      </c>
      <c r="V299" s="133">
        <v>111.52764063486872</v>
      </c>
      <c r="W299" s="113">
        <v>44854</v>
      </c>
      <c r="X299" s="134">
        <v>0.7</v>
      </c>
      <c r="Y299" s="312">
        <v>0.6387096774193548</v>
      </c>
      <c r="Z299" s="163">
        <f t="shared" si="130"/>
        <v>38.446601941747574</v>
      </c>
    </row>
    <row r="300" spans="2:29" ht="12" customHeight="1">
      <c r="B300" s="531" t="s">
        <v>166</v>
      </c>
      <c r="C300" s="270" t="s">
        <v>166</v>
      </c>
      <c r="D300" s="288">
        <v>137</v>
      </c>
      <c r="E300" s="129">
        <v>101.9</v>
      </c>
      <c r="F300" s="129">
        <v>120.9</v>
      </c>
      <c r="G300" s="130">
        <v>347497</v>
      </c>
      <c r="H300" s="129">
        <v>163</v>
      </c>
      <c r="I300" s="401">
        <f t="shared" si="229"/>
        <v>2131.8834355828221</v>
      </c>
      <c r="J300" s="401">
        <f>AVERAGE(I289:I300)</f>
        <v>2472.2572949923201</v>
      </c>
      <c r="K300" s="394">
        <f t="shared" si="232"/>
        <v>108.17677287023224</v>
      </c>
      <c r="L300" s="401">
        <f t="shared" ref="L300:M300" si="235">AVERAGE(L264:L299)</f>
        <v>8634.3424559054329</v>
      </c>
      <c r="M300" s="401">
        <f t="shared" si="235"/>
        <v>6529.971337741089</v>
      </c>
      <c r="N300" s="401">
        <f t="shared" si="227"/>
        <v>7900.9860574827926</v>
      </c>
      <c r="O300" s="402">
        <f t="shared" si="228"/>
        <v>99.090579717002782</v>
      </c>
      <c r="P300" s="130">
        <v>150600</v>
      </c>
      <c r="Q300" s="130">
        <v>22910</v>
      </c>
      <c r="R300" s="401">
        <f t="shared" si="223"/>
        <v>86755</v>
      </c>
      <c r="S300" s="394">
        <f t="shared" si="234"/>
        <v>102.10674983816865</v>
      </c>
      <c r="T300" s="404">
        <v>118.6</v>
      </c>
      <c r="U300" s="133">
        <v>110.24978401223295</v>
      </c>
      <c r="V300" s="133">
        <v>112.14528304145605</v>
      </c>
      <c r="W300" s="113">
        <v>44883</v>
      </c>
      <c r="X300" s="134">
        <v>0.8</v>
      </c>
      <c r="Y300" s="312">
        <v>0.74333333333333329</v>
      </c>
      <c r="Z300" s="163">
        <v>44.744336569579289</v>
      </c>
    </row>
    <row r="301" spans="2:29" s="88" customFormat="1" ht="12" customHeight="1">
      <c r="B301" s="387" t="s">
        <v>167</v>
      </c>
      <c r="C301" s="271" t="s">
        <v>167</v>
      </c>
      <c r="D301" s="549">
        <v>137.19999999999999</v>
      </c>
      <c r="E301" s="149">
        <v>102.1</v>
      </c>
      <c r="F301" s="149">
        <v>121.7</v>
      </c>
      <c r="G301" s="150">
        <v>730408</v>
      </c>
      <c r="H301" s="516">
        <v>160.1</v>
      </c>
      <c r="I301" s="517">
        <f t="shared" si="229"/>
        <v>4562.1986258588386</v>
      </c>
      <c r="J301" s="517">
        <f t="shared" ref="J301:J309" si="236">AVERAGE(I290:I301)</f>
        <v>2486.9626945767427</v>
      </c>
      <c r="K301" s="518">
        <f t="shared" si="232"/>
        <v>108.82022639508675</v>
      </c>
      <c r="L301" s="517">
        <f t="shared" ref="L301:M301" si="237">AVERAGE(L265:L300)</f>
        <v>8634.342499326729</v>
      </c>
      <c r="M301" s="517">
        <f t="shared" si="237"/>
        <v>6529.971355028254</v>
      </c>
      <c r="N301" s="517">
        <f t="shared" si="227"/>
        <v>7900.9860917965534</v>
      </c>
      <c r="O301" s="519">
        <f t="shared" si="228"/>
        <v>99.090580147350394</v>
      </c>
      <c r="P301" s="517">
        <v>156800</v>
      </c>
      <c r="Q301" s="517">
        <v>20400</v>
      </c>
      <c r="R301" s="517">
        <f t="shared" si="223"/>
        <v>88600</v>
      </c>
      <c r="S301" s="518">
        <f t="shared" si="234"/>
        <v>104.27823221326429</v>
      </c>
      <c r="T301" s="520">
        <v>118.6</v>
      </c>
      <c r="U301" s="152">
        <v>110.90556815382702</v>
      </c>
      <c r="V301" s="152">
        <v>112.65220418290828</v>
      </c>
      <c r="W301" s="115">
        <v>44914</v>
      </c>
      <c r="X301" s="155">
        <v>0.7</v>
      </c>
      <c r="Y301" s="397">
        <v>0.75806451612903225</v>
      </c>
      <c r="Z301" s="320">
        <v>45.631067961165051</v>
      </c>
    </row>
    <row r="302" spans="2:29" s="313" customFormat="1" ht="12" customHeight="1">
      <c r="B302" s="531" t="s">
        <v>405</v>
      </c>
      <c r="C302" s="262" t="s">
        <v>406</v>
      </c>
      <c r="D302" s="546">
        <v>138.1</v>
      </c>
      <c r="E302" s="129">
        <v>102.6</v>
      </c>
      <c r="F302" s="129">
        <v>122</v>
      </c>
      <c r="G302" s="401">
        <v>319225</v>
      </c>
      <c r="H302" s="400">
        <v>141.19999999999999</v>
      </c>
      <c r="I302" s="130">
        <f t="shared" si="229"/>
        <v>2260.8002832861193</v>
      </c>
      <c r="J302" s="130">
        <f t="shared" si="236"/>
        <v>2492.1680811057863</v>
      </c>
      <c r="K302" s="133">
        <f t="shared" si="232"/>
        <v>109.0479947254279</v>
      </c>
      <c r="L302" s="130">
        <v>8634.3425312575655</v>
      </c>
      <c r="M302" s="130">
        <v>6529.971374886527</v>
      </c>
      <c r="N302" s="130">
        <f>($L$13*L302+$M$13*M302)/100</f>
        <v>7900.9861195201984</v>
      </c>
      <c r="O302" s="132">
        <f>N302/$N$85*100</f>
        <v>99.09058049504776</v>
      </c>
      <c r="P302" s="130">
        <v>184200</v>
      </c>
      <c r="Q302" s="130">
        <v>18940</v>
      </c>
      <c r="R302" s="130">
        <f t="shared" si="223"/>
        <v>101570</v>
      </c>
      <c r="S302" s="133">
        <f t="shared" si="234"/>
        <v>119.54334137586065</v>
      </c>
      <c r="T302" s="162">
        <v>118.6</v>
      </c>
      <c r="U302" s="133">
        <v>109.0479947254279</v>
      </c>
      <c r="V302" s="133">
        <v>111.21629992275575</v>
      </c>
      <c r="W302" s="113">
        <v>44945</v>
      </c>
      <c r="X302" s="134">
        <v>0.8</v>
      </c>
      <c r="Y302" s="312">
        <v>0.74193548387096775</v>
      </c>
      <c r="Z302" s="163">
        <v>44.660194174757287</v>
      </c>
      <c r="AA302" s="545"/>
      <c r="AB302" s="545"/>
      <c r="AC302" s="545"/>
    </row>
    <row r="303" spans="2:29" s="313" customFormat="1" ht="12" customHeight="1">
      <c r="B303" s="531" t="s">
        <v>408</v>
      </c>
      <c r="C303" s="262" t="s">
        <v>408</v>
      </c>
      <c r="D303" s="546">
        <v>138.19999999999999</v>
      </c>
      <c r="E303" s="129">
        <v>102.8</v>
      </c>
      <c r="F303" s="129">
        <v>121.9</v>
      </c>
      <c r="G303" s="401">
        <v>313827</v>
      </c>
      <c r="H303" s="400">
        <v>157.19999999999999</v>
      </c>
      <c r="I303" s="130">
        <f t="shared" si="229"/>
        <v>1996.3549618320612</v>
      </c>
      <c r="J303" s="130">
        <f t="shared" si="236"/>
        <v>2490.0939647185919</v>
      </c>
      <c r="K303" s="133">
        <f t="shared" si="232"/>
        <v>108.9572391160589</v>
      </c>
      <c r="L303" s="130">
        <v>8634.3425519806642</v>
      </c>
      <c r="M303" s="130">
        <v>6529.971396109675</v>
      </c>
      <c r="N303" s="130">
        <f t="shared" ref="N303:N308" si="238">($L$13*L303+$M$13*M303)/100</f>
        <v>7900.9861404175599</v>
      </c>
      <c r="O303" s="132">
        <f t="shared" ref="O303:O304" si="239">N303/$N$85*100</f>
        <v>99.090580757132969</v>
      </c>
      <c r="P303" s="130">
        <v>209500</v>
      </c>
      <c r="Q303" s="130">
        <v>33410</v>
      </c>
      <c r="R303" s="130">
        <f t="shared" si="223"/>
        <v>121455</v>
      </c>
      <c r="S303" s="133">
        <f t="shared" si="234"/>
        <v>142.9470958630024</v>
      </c>
      <c r="T303" s="162">
        <v>118.8</v>
      </c>
      <c r="U303" s="133">
        <v>108.9572391160589</v>
      </c>
      <c r="V303" s="133">
        <v>111.19154583671352</v>
      </c>
      <c r="W303" s="113">
        <v>44977</v>
      </c>
      <c r="X303" s="134">
        <v>0.9</v>
      </c>
      <c r="Y303" s="312">
        <v>0.83214285714285718</v>
      </c>
      <c r="Z303" s="163">
        <v>50.285435811751597</v>
      </c>
      <c r="AA303" s="545"/>
      <c r="AB303" s="545"/>
      <c r="AC303" s="545"/>
    </row>
    <row r="304" spans="2:29" s="313" customFormat="1" ht="12" customHeight="1">
      <c r="B304" s="531" t="s">
        <v>168</v>
      </c>
      <c r="C304" s="270" t="s">
        <v>168</v>
      </c>
      <c r="D304" s="546">
        <v>137.6</v>
      </c>
      <c r="E304" s="129">
        <v>102.8</v>
      </c>
      <c r="F304" s="129">
        <v>122.1</v>
      </c>
      <c r="G304" s="401">
        <v>335976</v>
      </c>
      <c r="H304" s="400">
        <v>159</v>
      </c>
      <c r="I304" s="130">
        <f t="shared" si="229"/>
        <v>2113.0566037735848</v>
      </c>
      <c r="J304" s="130">
        <f t="shared" si="236"/>
        <v>2491.8571205182893</v>
      </c>
      <c r="K304" s="133">
        <f t="shared" si="232"/>
        <v>109.03438824809506</v>
      </c>
      <c r="L304" s="130">
        <v>8634.3425622800587</v>
      </c>
      <c r="M304" s="130">
        <v>6529.9714176011512</v>
      </c>
      <c r="N304" s="130">
        <f t="shared" si="238"/>
        <v>7900.9861546173051</v>
      </c>
      <c r="O304" s="132">
        <f t="shared" si="239"/>
        <v>99.090580935219734</v>
      </c>
      <c r="P304" s="130">
        <v>222600</v>
      </c>
      <c r="Q304" s="130">
        <v>55050</v>
      </c>
      <c r="R304" s="130">
        <f t="shared" si="223"/>
        <v>138825</v>
      </c>
      <c r="S304" s="133">
        <f t="shared" si="234"/>
        <v>163.39080797975637</v>
      </c>
      <c r="T304" s="159">
        <v>118.8</v>
      </c>
      <c r="U304" s="133">
        <v>109.03438824809506</v>
      </c>
      <c r="V304" s="133">
        <v>111.25118211577748</v>
      </c>
      <c r="W304" s="113">
        <v>45005</v>
      </c>
      <c r="X304" s="134">
        <v>1</v>
      </c>
      <c r="Y304" s="312">
        <v>0.93870967741935485</v>
      </c>
      <c r="Z304" s="163">
        <v>56.725146198830409</v>
      </c>
      <c r="AA304" s="545"/>
      <c r="AB304" s="545"/>
      <c r="AC304" s="545"/>
    </row>
    <row r="305" spans="2:29" s="313" customFormat="1" ht="12" customHeight="1">
      <c r="B305" s="531" t="s">
        <v>409</v>
      </c>
      <c r="C305" s="270" t="s">
        <v>409</v>
      </c>
      <c r="D305" s="546">
        <v>137.69999999999999</v>
      </c>
      <c r="E305" s="129">
        <v>104.9</v>
      </c>
      <c r="F305" s="129">
        <v>122.3</v>
      </c>
      <c r="G305" s="401">
        <v>327170</v>
      </c>
      <c r="H305" s="400">
        <v>164.1</v>
      </c>
      <c r="I305" s="130">
        <f t="shared" si="229"/>
        <v>1993.7233394271786</v>
      </c>
      <c r="J305" s="130">
        <f t="shared" si="236"/>
        <v>2491.9159795013734</v>
      </c>
      <c r="K305" s="133">
        <f t="shared" si="232"/>
        <v>109.03696369801175</v>
      </c>
      <c r="L305" s="130">
        <v>8634.3425633207098</v>
      </c>
      <c r="M305" s="130">
        <v>6529.9714384424597</v>
      </c>
      <c r="N305" s="130">
        <f t="shared" si="238"/>
        <v>7900.9861625583262</v>
      </c>
      <c r="O305" s="132">
        <f>N305/$N$85*100</f>
        <v>99.090581034812416</v>
      </c>
      <c r="P305" s="130">
        <v>233100</v>
      </c>
      <c r="Q305" s="130">
        <v>53630</v>
      </c>
      <c r="R305" s="130">
        <f t="shared" si="223"/>
        <v>143365</v>
      </c>
      <c r="S305" s="133">
        <f t="shared" si="234"/>
        <v>168.73418466427353</v>
      </c>
      <c r="T305" s="162">
        <v>116.9</v>
      </c>
      <c r="U305" s="133">
        <v>109.03696369801175</v>
      </c>
      <c r="V305" s="133">
        <v>110.82187293856306</v>
      </c>
      <c r="W305" s="113">
        <v>45035</v>
      </c>
      <c r="X305" s="134">
        <v>0.7</v>
      </c>
      <c r="Y305" s="312">
        <v>0.87999999999999989</v>
      </c>
      <c r="Z305" s="163">
        <v>53.17738791423001</v>
      </c>
      <c r="AA305" s="545"/>
      <c r="AB305" s="545"/>
      <c r="AC305" s="545"/>
    </row>
    <row r="306" spans="2:29" s="313" customFormat="1" ht="12" customHeight="1">
      <c r="B306" s="531" t="s">
        <v>160</v>
      </c>
      <c r="C306" s="270" t="s">
        <v>160</v>
      </c>
      <c r="D306" s="546">
        <v>137.5</v>
      </c>
      <c r="E306" s="129">
        <v>105.1</v>
      </c>
      <c r="F306" s="129">
        <v>122</v>
      </c>
      <c r="G306" s="401">
        <v>329357</v>
      </c>
      <c r="H306" s="400">
        <v>147</v>
      </c>
      <c r="I306" s="130">
        <f t="shared" si="229"/>
        <v>2240.5238095238096</v>
      </c>
      <c r="J306" s="130">
        <f t="shared" si="236"/>
        <v>2494.0613588631154</v>
      </c>
      <c r="K306" s="133">
        <f t="shared" si="232"/>
        <v>109.13083750977306</v>
      </c>
      <c r="L306" s="130">
        <v>8634.3425564343124</v>
      </c>
      <c r="M306" s="130">
        <v>6529.971457935314</v>
      </c>
      <c r="N306" s="130">
        <f t="shared" si="238"/>
        <v>7900.9861648648857</v>
      </c>
      <c r="O306" s="132">
        <f t="shared" ref="O306:O313" si="240">N306/$N$85*100</f>
        <v>99.090581063740231</v>
      </c>
      <c r="P306" s="130">
        <v>236500</v>
      </c>
      <c r="Q306" s="130">
        <v>63790</v>
      </c>
      <c r="R306" s="130">
        <f t="shared" si="223"/>
        <v>150145</v>
      </c>
      <c r="S306" s="133">
        <f t="shared" si="234"/>
        <v>176.71394103454364</v>
      </c>
      <c r="T306" s="162">
        <v>120.9</v>
      </c>
      <c r="U306" s="133">
        <v>109.13083750977306</v>
      </c>
      <c r="V306" s="133">
        <v>111.80243739505457</v>
      </c>
      <c r="W306" s="113">
        <v>45064</v>
      </c>
      <c r="X306" s="134">
        <v>0.8</v>
      </c>
      <c r="Y306" s="312">
        <v>0.74516129032258061</v>
      </c>
      <c r="Z306" s="163">
        <v>44.854368932038838</v>
      </c>
      <c r="AA306" s="545"/>
      <c r="AB306" s="545"/>
      <c r="AC306" s="545"/>
    </row>
    <row r="307" spans="2:29" s="313" customFormat="1" ht="12" customHeight="1">
      <c r="B307" s="531" t="s">
        <v>161</v>
      </c>
      <c r="C307" s="270" t="s">
        <v>161</v>
      </c>
      <c r="D307" s="546">
        <v>137.5</v>
      </c>
      <c r="E307" s="129">
        <v>105.2</v>
      </c>
      <c r="F307" s="129">
        <v>121.7</v>
      </c>
      <c r="G307" s="401">
        <v>528019</v>
      </c>
      <c r="H307" s="400">
        <v>164.6</v>
      </c>
      <c r="I307" s="130">
        <f t="shared" si="229"/>
        <v>3207.891859052248</v>
      </c>
      <c r="J307" s="130">
        <f t="shared" si="236"/>
        <v>2501.8151126403454</v>
      </c>
      <c r="K307" s="133">
        <f t="shared" si="232"/>
        <v>109.47011290111284</v>
      </c>
      <c r="L307" s="130">
        <v>8634.3425429332638</v>
      </c>
      <c r="M307" s="130">
        <v>6529.9714756170333</v>
      </c>
      <c r="N307" s="130">
        <f t="shared" si="238"/>
        <v>7900.9861622307826</v>
      </c>
      <c r="O307" s="132">
        <f t="shared" si="240"/>
        <v>99.090581030704499</v>
      </c>
      <c r="P307" s="130">
        <v>203800</v>
      </c>
      <c r="Q307" s="130">
        <v>73540</v>
      </c>
      <c r="R307" s="130">
        <f t="shared" si="223"/>
        <v>138670</v>
      </c>
      <c r="S307" s="133">
        <f t="shared" si="234"/>
        <v>163.208379921144</v>
      </c>
      <c r="T307" s="159">
        <v>118.2</v>
      </c>
      <c r="U307" s="133">
        <v>109.47011290111284</v>
      </c>
      <c r="V307" s="133">
        <v>111.45179727256021</v>
      </c>
      <c r="W307" s="113">
        <v>45096</v>
      </c>
      <c r="X307" s="134">
        <v>0.7</v>
      </c>
      <c r="Y307" s="312">
        <v>0.76</v>
      </c>
      <c r="Z307" s="163">
        <v>45.747572815533985</v>
      </c>
      <c r="AA307" s="545"/>
      <c r="AB307" s="545"/>
      <c r="AC307" s="545"/>
    </row>
    <row r="308" spans="2:29" s="313" customFormat="1" ht="12" customHeight="1">
      <c r="B308" s="531" t="s">
        <v>410</v>
      </c>
      <c r="C308" s="270" t="s">
        <v>410</v>
      </c>
      <c r="D308" s="546">
        <v>137.30000000000001</v>
      </c>
      <c r="E308" s="129">
        <v>105.7</v>
      </c>
      <c r="F308" s="129">
        <v>120.9</v>
      </c>
      <c r="G308" s="401">
        <v>546295</v>
      </c>
      <c r="H308" s="400">
        <v>161.69999999999999</v>
      </c>
      <c r="I308" s="130">
        <f t="shared" si="229"/>
        <v>3378.4477427334573</v>
      </c>
      <c r="J308" s="130">
        <f t="shared" si="236"/>
        <v>2507.8508907924688</v>
      </c>
      <c r="K308" s="133">
        <f t="shared" si="232"/>
        <v>109.73421607661156</v>
      </c>
      <c r="L308" s="130">
        <v>8634.3425239702647</v>
      </c>
      <c r="M308" s="130">
        <v>6529.9714912484815</v>
      </c>
      <c r="N308" s="130">
        <f t="shared" si="238"/>
        <v>7900.9861553236678</v>
      </c>
      <c r="O308" s="132">
        <f t="shared" si="240"/>
        <v>99.09058094407861</v>
      </c>
      <c r="P308" s="130">
        <v>203100</v>
      </c>
      <c r="Q308" s="130">
        <v>69070</v>
      </c>
      <c r="R308" s="130">
        <f t="shared" si="223"/>
        <v>136085</v>
      </c>
      <c r="S308" s="133">
        <f t="shared" si="234"/>
        <v>160.16595068557643</v>
      </c>
      <c r="T308" s="159">
        <v>118.2</v>
      </c>
      <c r="U308" s="133">
        <v>109.73421607661156</v>
      </c>
      <c r="V308" s="133">
        <v>111.65594902722073</v>
      </c>
      <c r="W308" s="113">
        <v>45127</v>
      </c>
      <c r="X308" s="134">
        <v>0.7</v>
      </c>
      <c r="Y308" s="312">
        <v>0.7</v>
      </c>
      <c r="Z308" s="163">
        <v>42.135922330097088</v>
      </c>
      <c r="AA308" s="545"/>
      <c r="AB308" s="545"/>
      <c r="AC308" s="545"/>
    </row>
    <row r="309" spans="2:29" s="313" customFormat="1" ht="12" customHeight="1">
      <c r="B309" s="531" t="s">
        <v>411</v>
      </c>
      <c r="C309" s="270" t="s">
        <v>411</v>
      </c>
      <c r="D309" s="546">
        <v>137.1</v>
      </c>
      <c r="E309" s="129">
        <v>105.9</v>
      </c>
      <c r="F309" s="129">
        <v>121.1</v>
      </c>
      <c r="G309" s="401">
        <v>331154</v>
      </c>
      <c r="H309" s="400">
        <v>147.4</v>
      </c>
      <c r="I309" s="130">
        <f t="shared" si="229"/>
        <v>2246.6350067842604</v>
      </c>
      <c r="J309" s="130">
        <f t="shared" si="236"/>
        <v>2511.9457566036517</v>
      </c>
      <c r="K309" s="133">
        <f>J309/$J$85*100</f>
        <v>109.91339215577116</v>
      </c>
      <c r="L309" s="130">
        <v>8634.3425004785531</v>
      </c>
      <c r="M309" s="130">
        <v>6529.9715047423224</v>
      </c>
      <c r="N309" s="130">
        <f>($L$13*L309+$M$13*M309)/100</f>
        <v>7900.9861447211242</v>
      </c>
      <c r="O309" s="132">
        <f t="shared" si="240"/>
        <v>99.090580811106321</v>
      </c>
      <c r="P309" s="130">
        <v>165200</v>
      </c>
      <c r="Q309" s="130">
        <v>47100</v>
      </c>
      <c r="R309" s="130">
        <f t="shared" si="223"/>
        <v>106150</v>
      </c>
      <c r="S309" s="133">
        <f t="shared" si="234"/>
        <v>124.93379626905197</v>
      </c>
      <c r="T309" s="159">
        <v>118.2</v>
      </c>
      <c r="U309" s="133">
        <v>109.91339215577116</v>
      </c>
      <c r="V309" s="133">
        <v>111.7944521364111</v>
      </c>
      <c r="W309" s="113">
        <v>45159</v>
      </c>
      <c r="X309" s="134">
        <v>0.8</v>
      </c>
      <c r="Y309" s="312">
        <v>0.73548387096774193</v>
      </c>
      <c r="Z309" s="163">
        <v>44.271844660194176</v>
      </c>
    </row>
    <row r="310" spans="2:29" s="313" customFormat="1" ht="12" customHeight="1">
      <c r="B310" s="531" t="s">
        <v>164</v>
      </c>
      <c r="C310" s="270" t="s">
        <v>164</v>
      </c>
      <c r="D310" s="546">
        <v>136.6</v>
      </c>
      <c r="E310" s="129">
        <v>106</v>
      </c>
      <c r="F310" s="129">
        <v>120.9</v>
      </c>
      <c r="G310" s="401">
        <v>325104</v>
      </c>
      <c r="H310" s="400">
        <v>158.69999999999999</v>
      </c>
      <c r="I310" s="130">
        <f t="shared" si="229"/>
        <v>2048.544423440454</v>
      </c>
      <c r="J310" s="130">
        <f>AVERAGE(I299:I310)</f>
        <v>2515.391314140566</v>
      </c>
      <c r="K310" s="133">
        <f>J310/$J$85*100</f>
        <v>110.06415692278672</v>
      </c>
      <c r="L310" s="130">
        <v>8634.3424732602707</v>
      </c>
      <c r="M310" s="130">
        <v>6529.9715160714995</v>
      </c>
      <c r="N310" s="130">
        <f t="shared" ref="N310:N311" si="241">($L$13*L310+$M$13*M310)/100</f>
        <v>7900.9861309363205</v>
      </c>
      <c r="O310" s="132">
        <f t="shared" si="240"/>
        <v>99.090580638223585</v>
      </c>
      <c r="P310" s="130">
        <v>165900</v>
      </c>
      <c r="Q310" s="130">
        <v>31180</v>
      </c>
      <c r="R310" s="130">
        <f t="shared" si="223"/>
        <v>98540</v>
      </c>
      <c r="S310" s="133">
        <f t="shared" si="234"/>
        <v>115.97716706879304</v>
      </c>
      <c r="T310" s="159">
        <v>117.1</v>
      </c>
      <c r="U310" s="133">
        <v>110.06415692278672</v>
      </c>
      <c r="V310" s="133">
        <v>111.66129330131413</v>
      </c>
      <c r="W310" s="113">
        <v>45188</v>
      </c>
      <c r="X310" s="134">
        <v>1</v>
      </c>
      <c r="Y310" s="312">
        <v>0.88000000000000012</v>
      </c>
      <c r="Z310" s="163">
        <v>52.970873786407779</v>
      </c>
    </row>
    <row r="311" spans="2:29" s="313" customFormat="1" ht="12" customHeight="1">
      <c r="B311" s="531" t="s">
        <v>165</v>
      </c>
      <c r="C311" s="270" t="s">
        <v>165</v>
      </c>
      <c r="D311" s="546">
        <v>136.4</v>
      </c>
      <c r="E311" s="129">
        <v>106.1</v>
      </c>
      <c r="F311" s="129">
        <v>119.8</v>
      </c>
      <c r="G311" s="401">
        <v>324026</v>
      </c>
      <c r="H311" s="400">
        <v>160.80000000000001</v>
      </c>
      <c r="I311" s="130">
        <f t="shared" si="229"/>
        <v>2015.0870646766168</v>
      </c>
      <c r="J311" s="130">
        <f t="shared" ref="J311" si="242">AVERAGE(I300:I311)</f>
        <v>2516.2622629976208</v>
      </c>
      <c r="K311" s="133">
        <f t="shared" ref="K311" si="243">J311/$J$85*100</f>
        <v>110.10226640147329</v>
      </c>
      <c r="L311" s="130">
        <v>8634.3424430925006</v>
      </c>
      <c r="M311" s="130">
        <v>6529.9715251693715</v>
      </c>
      <c r="N311" s="130">
        <f t="shared" si="241"/>
        <v>7900.9861144523111</v>
      </c>
      <c r="O311" s="132">
        <f t="shared" si="240"/>
        <v>99.090580431488618</v>
      </c>
      <c r="P311" s="130">
        <v>168100</v>
      </c>
      <c r="Q311" s="130">
        <v>40330</v>
      </c>
      <c r="R311" s="130">
        <f t="shared" si="223"/>
        <v>104215</v>
      </c>
      <c r="S311" s="133">
        <f t="shared" si="234"/>
        <v>122.65638792443947</v>
      </c>
      <c r="T311" s="159">
        <v>117.6</v>
      </c>
      <c r="U311" s="133">
        <v>110.10226640147329</v>
      </c>
      <c r="V311" s="133">
        <v>111.80425192833886</v>
      </c>
      <c r="W311" s="113">
        <v>45218</v>
      </c>
      <c r="X311" s="134">
        <v>1.1000000000000001</v>
      </c>
      <c r="Y311" s="312">
        <v>1.0419354838709678</v>
      </c>
      <c r="Z311" s="163">
        <v>62.718446601941757</v>
      </c>
    </row>
    <row r="312" spans="2:29" s="313" customFormat="1" ht="12" customHeight="1">
      <c r="B312" s="531" t="s">
        <v>166</v>
      </c>
      <c r="C312" s="270" t="s">
        <v>166</v>
      </c>
      <c r="D312" s="546">
        <v>136.1</v>
      </c>
      <c r="E312" s="129">
        <v>106.1</v>
      </c>
      <c r="F312" s="129">
        <v>119.6</v>
      </c>
      <c r="G312" s="130">
        <v>346837</v>
      </c>
      <c r="H312" s="129">
        <v>163.80000000000001</v>
      </c>
      <c r="I312" s="130">
        <f t="shared" si="229"/>
        <v>2117.4420024420024</v>
      </c>
      <c r="J312" s="130">
        <f>AVERAGE(I301:I312)</f>
        <v>2515.0588102358856</v>
      </c>
      <c r="K312" s="133">
        <f>J312/$J$85*100</f>
        <v>110.04960779011842</v>
      </c>
      <c r="L312" s="130">
        <v>8634.3424108412655</v>
      </c>
      <c r="M312" s="130">
        <v>6529.9715318768094</v>
      </c>
      <c r="N312" s="130">
        <f>($L$13*L312+$M$13*M312)/100</f>
        <v>7900.986095777861</v>
      </c>
      <c r="O312" s="132">
        <f t="shared" si="240"/>
        <v>99.090580197282137</v>
      </c>
      <c r="P312" s="130">
        <v>174600</v>
      </c>
      <c r="Q312" s="130">
        <v>52460</v>
      </c>
      <c r="R312" s="130">
        <f t="shared" si="223"/>
        <v>113530</v>
      </c>
      <c r="S312" s="133">
        <f t="shared" si="234"/>
        <v>133.6197257694345</v>
      </c>
      <c r="T312" s="159">
        <v>117.8</v>
      </c>
      <c r="U312" s="133">
        <v>110.04960779011842</v>
      </c>
      <c r="V312" s="133">
        <v>111.80894682176152</v>
      </c>
      <c r="W312" s="113">
        <v>45250</v>
      </c>
      <c r="X312" s="134">
        <v>1.2</v>
      </c>
      <c r="Y312" s="312">
        <v>1.1366666666666667</v>
      </c>
      <c r="Z312" s="163">
        <v>68.420711974110034</v>
      </c>
    </row>
    <row r="313" spans="2:29" s="313" customFormat="1" ht="12" customHeight="1">
      <c r="B313" s="105" t="s">
        <v>167</v>
      </c>
      <c r="C313" s="271" t="s">
        <v>167</v>
      </c>
      <c r="D313" s="148">
        <v>136.1</v>
      </c>
      <c r="E313" s="149">
        <v>106.2</v>
      </c>
      <c r="F313" s="149">
        <v>119.9</v>
      </c>
      <c r="G313" s="150">
        <v>752720</v>
      </c>
      <c r="H313" s="149">
        <v>159.69999999999999</v>
      </c>
      <c r="I313" s="150">
        <f t="shared" si="229"/>
        <v>4713.3375078271765</v>
      </c>
      <c r="J313" s="150">
        <f t="shared" ref="J313:J321" si="244">AVERAGE(I302:I313)</f>
        <v>2527.6537170665811</v>
      </c>
      <c r="K313" s="152">
        <f t="shared" ref="K313:K320" si="245">J313/$J$85*100</f>
        <v>110.60071401126524</v>
      </c>
      <c r="L313" s="150">
        <v>8634.3423776157379</v>
      </c>
      <c r="M313" s="150">
        <v>6529.9715359769734</v>
      </c>
      <c r="N313" s="150">
        <f t="shared" ref="N313" si="246">($L$13*L313+$M$13*M313)/100</f>
        <v>7900.9860755600357</v>
      </c>
      <c r="O313" s="153">
        <f t="shared" si="240"/>
        <v>99.090579943719362</v>
      </c>
      <c r="P313" s="150">
        <v>218700</v>
      </c>
      <c r="Q313" s="150">
        <v>56570</v>
      </c>
      <c r="R313" s="150">
        <f t="shared" si="223"/>
        <v>137635</v>
      </c>
      <c r="S313" s="152">
        <f t="shared" si="234"/>
        <v>161.99023127170011</v>
      </c>
      <c r="T313" s="384">
        <v>117.8</v>
      </c>
      <c r="U313" s="152">
        <v>110.60071401126524</v>
      </c>
      <c r="V313" s="152">
        <v>112.23495193070804</v>
      </c>
      <c r="W313" s="115">
        <v>45278</v>
      </c>
      <c r="X313" s="155">
        <v>1.1000000000000001</v>
      </c>
      <c r="Y313" s="397">
        <v>1.1548387096774193</v>
      </c>
      <c r="Z313" s="320">
        <v>69.514563106796118</v>
      </c>
    </row>
    <row r="314" spans="2:29" s="313" customFormat="1" ht="12" customHeight="1">
      <c r="B314" s="531" t="s">
        <v>415</v>
      </c>
      <c r="C314" s="262" t="s">
        <v>416</v>
      </c>
      <c r="D314" s="546">
        <v>136.4</v>
      </c>
      <c r="E314" s="129">
        <v>106.8</v>
      </c>
      <c r="F314" s="129">
        <v>120.5</v>
      </c>
      <c r="G314" s="401">
        <v>324912</v>
      </c>
      <c r="H314" s="400">
        <v>141</v>
      </c>
      <c r="I314" s="130">
        <f t="shared" ref="I314:I337" si="247">G314/H314</f>
        <v>2304.3404255319151</v>
      </c>
      <c r="J314" s="130">
        <f t="shared" si="244"/>
        <v>2531.2820622537301</v>
      </c>
      <c r="K314" s="133">
        <f t="shared" si="245"/>
        <v>110.75947688517809</v>
      </c>
      <c r="L314" s="130">
        <v>8634.3425312575655</v>
      </c>
      <c r="M314" s="130">
        <v>6529.971374886527</v>
      </c>
      <c r="N314" s="130">
        <f>($L$13*L314+$M$13*M314)/100</f>
        <v>7900.9861195201984</v>
      </c>
      <c r="O314" s="132">
        <f>N314/$N$85*100</f>
        <v>99.09058049504776</v>
      </c>
      <c r="P314" s="130">
        <v>243200</v>
      </c>
      <c r="Q314" s="130">
        <v>44460</v>
      </c>
      <c r="R314" s="130">
        <f t="shared" ref="R314:R337" si="248">AVERAGE(P314:Q314)</f>
        <v>143830</v>
      </c>
      <c r="S314" s="133">
        <f t="shared" ref="S314:S330" si="249">R314/$R$85*100</f>
        <v>169.28146884011065</v>
      </c>
      <c r="T314" s="162">
        <v>119.2</v>
      </c>
      <c r="U314" s="133">
        <v>110.75947688517809</v>
      </c>
      <c r="V314" s="133">
        <v>112.67547563224267</v>
      </c>
      <c r="W314" s="113">
        <v>44944</v>
      </c>
      <c r="X314" s="134">
        <v>1</v>
      </c>
      <c r="Y314" s="312">
        <v>1.0548387096774194</v>
      </c>
      <c r="Z314" s="163">
        <v>63.49514563106797</v>
      </c>
      <c r="AA314" s="545"/>
      <c r="AB314" s="545"/>
      <c r="AC314" s="545"/>
    </row>
    <row r="315" spans="2:29" s="313" customFormat="1" ht="12" customHeight="1">
      <c r="B315" s="531" t="s">
        <v>408</v>
      </c>
      <c r="C315" s="262" t="s">
        <v>408</v>
      </c>
      <c r="D315" s="546">
        <v>136.6</v>
      </c>
      <c r="E315" s="129">
        <v>107</v>
      </c>
      <c r="F315" s="129">
        <v>120.9</v>
      </c>
      <c r="G315" s="401">
        <v>320137</v>
      </c>
      <c r="H315" s="400">
        <v>157</v>
      </c>
      <c r="I315" s="130">
        <f t="shared" si="247"/>
        <v>2039.0891719745223</v>
      </c>
      <c r="J315" s="130">
        <f t="shared" si="244"/>
        <v>2534.8432464322686</v>
      </c>
      <c r="K315" s="133">
        <f t="shared" si="245"/>
        <v>110.91530104345286</v>
      </c>
      <c r="L315" s="130">
        <v>8634.3425519806642</v>
      </c>
      <c r="M315" s="130">
        <v>6529.971396109675</v>
      </c>
      <c r="N315" s="130">
        <f t="shared" ref="N315:N320" si="250">($L$13*L315+$M$13*M315)/100</f>
        <v>7900.9861404175599</v>
      </c>
      <c r="O315" s="132">
        <f t="shared" ref="O315:O316" si="251">N315/$N$85*100</f>
        <v>99.090580757132969</v>
      </c>
      <c r="P315" s="130">
        <v>308500</v>
      </c>
      <c r="Q315" s="130">
        <v>42390</v>
      </c>
      <c r="R315" s="130">
        <f t="shared" si="248"/>
        <v>175445</v>
      </c>
      <c r="S315" s="133">
        <f t="shared" si="249"/>
        <v>206.49090802094977</v>
      </c>
      <c r="T315" s="162">
        <v>121.7</v>
      </c>
      <c r="U315" s="133">
        <v>110.91530104345286</v>
      </c>
      <c r="V315" s="133">
        <v>113.36342770658906</v>
      </c>
      <c r="W315" s="113">
        <v>44977</v>
      </c>
      <c r="X315" s="134">
        <v>1.1000000000000001</v>
      </c>
      <c r="Y315" s="312">
        <v>1.0344827586206895</v>
      </c>
      <c r="Z315" s="163">
        <v>62.269835955808496</v>
      </c>
      <c r="AA315" s="545"/>
      <c r="AB315" s="545"/>
      <c r="AC315" s="545"/>
    </row>
    <row r="316" spans="2:29" s="313" customFormat="1" ht="12" customHeight="1">
      <c r="B316" s="531" t="s">
        <v>168</v>
      </c>
      <c r="C316" s="270" t="s">
        <v>168</v>
      </c>
      <c r="D316" s="546">
        <v>136.6</v>
      </c>
      <c r="E316" s="129">
        <v>107.1</v>
      </c>
      <c r="F316" s="129">
        <v>121.1</v>
      </c>
      <c r="G316" s="401">
        <v>339190</v>
      </c>
      <c r="H316" s="400">
        <v>156.4</v>
      </c>
      <c r="I316" s="130">
        <f t="shared" si="247"/>
        <v>2168.7340153452683</v>
      </c>
      <c r="J316" s="130">
        <f t="shared" si="244"/>
        <v>2539.4830307299089</v>
      </c>
      <c r="K316" s="133">
        <f t="shared" si="245"/>
        <v>111.11832072637557</v>
      </c>
      <c r="L316" s="130">
        <v>8634.3425622800587</v>
      </c>
      <c r="M316" s="130">
        <v>6529.9714176011512</v>
      </c>
      <c r="N316" s="130">
        <f t="shared" si="250"/>
        <v>7900.9861546173051</v>
      </c>
      <c r="O316" s="132">
        <f t="shared" si="251"/>
        <v>99.090580935219734</v>
      </c>
      <c r="P316" s="130">
        <v>311200</v>
      </c>
      <c r="Q316" s="130">
        <v>46790</v>
      </c>
      <c r="R316" s="130">
        <f t="shared" si="248"/>
        <v>178995</v>
      </c>
      <c r="S316" s="133">
        <f t="shared" si="249"/>
        <v>210.66909904078148</v>
      </c>
      <c r="T316" s="159">
        <v>121.7</v>
      </c>
      <c r="U316" s="133">
        <v>111.11832072637557</v>
      </c>
      <c r="V316" s="133">
        <v>113.52036192148832</v>
      </c>
      <c r="W316" s="113">
        <v>45003</v>
      </c>
      <c r="X316" s="134">
        <v>1.1000000000000001</v>
      </c>
      <c r="Y316" s="312">
        <v>1.1000000000000001</v>
      </c>
      <c r="Z316" s="163">
        <v>66.21359223300972</v>
      </c>
      <c r="AA316" s="545"/>
      <c r="AB316" s="545"/>
      <c r="AC316" s="545"/>
    </row>
    <row r="317" spans="2:29" s="313" customFormat="1" ht="12" customHeight="1">
      <c r="B317" s="531" t="s">
        <v>200</v>
      </c>
      <c r="C317" s="270" t="s">
        <v>200</v>
      </c>
      <c r="D317" s="546">
        <v>136.9</v>
      </c>
      <c r="E317" s="129">
        <v>107.4</v>
      </c>
      <c r="F317" s="129">
        <v>120.2</v>
      </c>
      <c r="G317" s="401">
        <v>336901</v>
      </c>
      <c r="H317" s="400">
        <v>161.30000000000001</v>
      </c>
      <c r="I317" s="130">
        <f t="shared" si="247"/>
        <v>2088.660880347179</v>
      </c>
      <c r="J317" s="130">
        <f t="shared" si="244"/>
        <v>2547.3944924732427</v>
      </c>
      <c r="K317" s="133">
        <f t="shared" si="245"/>
        <v>111.46449683102848</v>
      </c>
      <c r="L317" s="130">
        <v>8634.3425633207098</v>
      </c>
      <c r="M317" s="130">
        <v>6529.9714384424597</v>
      </c>
      <c r="N317" s="130">
        <f t="shared" si="250"/>
        <v>7900.9861625583262</v>
      </c>
      <c r="O317" s="132">
        <f>N317/$N$85*100</f>
        <v>99.090581034812416</v>
      </c>
      <c r="P317" s="130">
        <v>280700</v>
      </c>
      <c r="Q317" s="130">
        <v>48530</v>
      </c>
      <c r="R317" s="130">
        <f t="shared" si="248"/>
        <v>164615</v>
      </c>
      <c r="S317" s="133">
        <f t="shared" si="249"/>
        <v>193.74448302242101</v>
      </c>
      <c r="T317" s="162">
        <v>121.7</v>
      </c>
      <c r="U317" s="133">
        <v>111.46449683102848</v>
      </c>
      <c r="V317" s="133">
        <v>113.78795605038502</v>
      </c>
      <c r="W317" s="113">
        <v>45034</v>
      </c>
      <c r="X317" s="134">
        <v>1.1000000000000001</v>
      </c>
      <c r="Y317" s="312">
        <v>1.1000000000000001</v>
      </c>
      <c r="Z317" s="163">
        <v>66.21359223300972</v>
      </c>
      <c r="AA317" s="545"/>
      <c r="AB317" s="545"/>
      <c r="AC317" s="545"/>
    </row>
    <row r="318" spans="2:29" s="313" customFormat="1" ht="12" customHeight="1">
      <c r="B318" s="531" t="s">
        <v>160</v>
      </c>
      <c r="C318" s="270" t="s">
        <v>160</v>
      </c>
      <c r="D318" s="546">
        <v>137.1</v>
      </c>
      <c r="E318" s="129">
        <v>107.6</v>
      </c>
      <c r="F318" s="129">
        <v>120</v>
      </c>
      <c r="G318" s="401">
        <v>333728</v>
      </c>
      <c r="H318" s="400">
        <v>150.5</v>
      </c>
      <c r="I318" s="130">
        <f t="shared" si="247"/>
        <v>2217.4617940199337</v>
      </c>
      <c r="J318" s="130">
        <f t="shared" si="244"/>
        <v>2545.4726578479199</v>
      </c>
      <c r="K318" s="133">
        <f t="shared" si="245"/>
        <v>111.38040450448187</v>
      </c>
      <c r="L318" s="130">
        <v>8634.3425564343124</v>
      </c>
      <c r="M318" s="130">
        <v>6529.971457935314</v>
      </c>
      <c r="N318" s="130">
        <f t="shared" si="250"/>
        <v>7900.9861648648857</v>
      </c>
      <c r="O318" s="132">
        <f t="shared" ref="O318:O325" si="252">N318/$N$85*100</f>
        <v>99.090581063740231</v>
      </c>
      <c r="P318" s="130">
        <v>253700</v>
      </c>
      <c r="Q318" s="130">
        <v>70600</v>
      </c>
      <c r="R318" s="130">
        <f t="shared" si="248"/>
        <v>162150</v>
      </c>
      <c r="S318" s="133">
        <f t="shared" si="249"/>
        <v>190.84328841287589</v>
      </c>
      <c r="T318" s="162">
        <v>121.8</v>
      </c>
      <c r="U318" s="133">
        <v>111.38040450448187</v>
      </c>
      <c r="V318" s="133">
        <v>113.74565268196449</v>
      </c>
      <c r="W318" s="113">
        <v>45066</v>
      </c>
      <c r="X318" s="134">
        <v>1.2</v>
      </c>
      <c r="Y318" s="312">
        <v>1.1283870967741936</v>
      </c>
      <c r="Z318" s="163">
        <v>67.922330097087396</v>
      </c>
      <c r="AA318" s="545"/>
      <c r="AB318" s="545"/>
      <c r="AC318" s="545"/>
    </row>
    <row r="319" spans="2:29" s="313" customFormat="1" ht="12" customHeight="1">
      <c r="B319" s="531" t="s">
        <v>161</v>
      </c>
      <c r="C319" s="270" t="s">
        <v>161</v>
      </c>
      <c r="D319" s="546">
        <v>137.30000000000001</v>
      </c>
      <c r="E319" s="129">
        <v>107.6</v>
      </c>
      <c r="F319" s="129">
        <v>120.2</v>
      </c>
      <c r="G319" s="401">
        <v>556647</v>
      </c>
      <c r="H319" s="400">
        <v>161.69999999999999</v>
      </c>
      <c r="I319" s="130">
        <f t="shared" si="247"/>
        <v>3442.4675324675327</v>
      </c>
      <c r="J319" s="130">
        <f t="shared" si="244"/>
        <v>2565.0206306325267</v>
      </c>
      <c r="K319" s="133">
        <f t="shared" si="245"/>
        <v>112.23575099947543</v>
      </c>
      <c r="L319" s="130">
        <v>8634.3425429332638</v>
      </c>
      <c r="M319" s="130">
        <v>6529.9714756170333</v>
      </c>
      <c r="N319" s="130">
        <f t="shared" si="250"/>
        <v>7900.9861622307826</v>
      </c>
      <c r="O319" s="132">
        <f t="shared" si="252"/>
        <v>99.090581030704499</v>
      </c>
      <c r="P319" s="130">
        <v>232200</v>
      </c>
      <c r="Q319" s="130">
        <v>114900</v>
      </c>
      <c r="R319" s="130">
        <f t="shared" si="248"/>
        <v>173550</v>
      </c>
      <c r="S319" s="133">
        <f t="shared" si="249"/>
        <v>204.26057788501146</v>
      </c>
      <c r="T319" s="159">
        <v>120.1</v>
      </c>
      <c r="U319" s="133">
        <v>112.23575099947543</v>
      </c>
      <c r="V319" s="133">
        <v>114.0209355225945</v>
      </c>
      <c r="W319" s="113">
        <v>45096</v>
      </c>
      <c r="X319" s="134">
        <v>1.4</v>
      </c>
      <c r="Y319" s="312">
        <v>1.2733333333333334</v>
      </c>
      <c r="Z319" s="163">
        <v>76.647249190938524</v>
      </c>
      <c r="AA319" s="545"/>
      <c r="AB319" s="545"/>
      <c r="AC319" s="545"/>
    </row>
    <row r="320" spans="2:29" s="313" customFormat="1" ht="12" customHeight="1">
      <c r="B320" s="531" t="s">
        <v>410</v>
      </c>
      <c r="C320" s="270" t="s">
        <v>410</v>
      </c>
      <c r="D320" s="546">
        <v>137.19999999999999</v>
      </c>
      <c r="E320" s="129">
        <v>109.4</v>
      </c>
      <c r="F320" s="129">
        <v>121.4</v>
      </c>
      <c r="G320" s="401">
        <v>574562</v>
      </c>
      <c r="H320" s="400">
        <v>162.4</v>
      </c>
      <c r="I320" s="130">
        <f t="shared" si="247"/>
        <v>3537.9433497536943</v>
      </c>
      <c r="J320" s="130">
        <f t="shared" si="244"/>
        <v>2578.3119312175463</v>
      </c>
      <c r="K320" s="133">
        <f t="shared" si="245"/>
        <v>112.81732881803339</v>
      </c>
      <c r="L320" s="130">
        <v>8634.3425239702647</v>
      </c>
      <c r="M320" s="130">
        <v>6529.9714912484815</v>
      </c>
      <c r="N320" s="130">
        <f t="shared" si="250"/>
        <v>7900.9861553236678</v>
      </c>
      <c r="O320" s="132">
        <f t="shared" si="252"/>
        <v>99.09058094407861</v>
      </c>
      <c r="P320" s="130">
        <v>199400</v>
      </c>
      <c r="Q320" s="130">
        <v>87270</v>
      </c>
      <c r="R320" s="130">
        <f t="shared" si="248"/>
        <v>143335</v>
      </c>
      <c r="S320" s="133">
        <f t="shared" si="249"/>
        <v>168.69887600776789</v>
      </c>
      <c r="T320" s="159">
        <v>121.9</v>
      </c>
      <c r="U320" s="133">
        <v>112.81732881803339</v>
      </c>
      <c r="V320" s="133">
        <v>114.8790951763398</v>
      </c>
      <c r="W320" s="113">
        <v>45126</v>
      </c>
      <c r="X320" s="134">
        <v>1.4</v>
      </c>
      <c r="Y320" s="312">
        <v>1.4</v>
      </c>
      <c r="Z320" s="163">
        <v>84.271844660194176</v>
      </c>
      <c r="AA320" s="545"/>
      <c r="AB320" s="545"/>
      <c r="AC320" s="545"/>
    </row>
    <row r="321" spans="2:29" s="313" customFormat="1" ht="12" customHeight="1">
      <c r="B321" s="531" t="s">
        <v>204</v>
      </c>
      <c r="C321" s="270" t="s">
        <v>204</v>
      </c>
      <c r="D321" s="546">
        <v>137.1</v>
      </c>
      <c r="E321" s="129">
        <v>109.4</v>
      </c>
      <c r="F321" s="129">
        <v>121.2</v>
      </c>
      <c r="G321" s="401">
        <v>339882</v>
      </c>
      <c r="H321" s="400">
        <v>147.19999999999999</v>
      </c>
      <c r="I321" s="130">
        <f t="shared" si="247"/>
        <v>2308.98097826087</v>
      </c>
      <c r="J321" s="130">
        <f t="shared" si="244"/>
        <v>2583.5074288405976</v>
      </c>
      <c r="K321" s="133">
        <f>J321/$J$85*100</f>
        <v>113.04466444667327</v>
      </c>
      <c r="L321" s="130">
        <v>8634.3425004785531</v>
      </c>
      <c r="M321" s="130">
        <v>6529.9715047423224</v>
      </c>
      <c r="N321" s="130">
        <f>($L$13*L321+$M$13*M321)/100</f>
        <v>7900.9861447211242</v>
      </c>
      <c r="O321" s="132">
        <f t="shared" si="252"/>
        <v>99.090580811106321</v>
      </c>
      <c r="P321" s="130">
        <v>179200</v>
      </c>
      <c r="Q321" s="130">
        <v>28150</v>
      </c>
      <c r="R321" s="130">
        <f t="shared" si="248"/>
        <v>103675</v>
      </c>
      <c r="S321" s="133">
        <f t="shared" si="249"/>
        <v>122.02083210733832</v>
      </c>
      <c r="T321" s="159">
        <v>122.1</v>
      </c>
      <c r="U321" s="133">
        <v>113.04466444667327</v>
      </c>
      <c r="V321" s="133">
        <v>115.10022561727843</v>
      </c>
      <c r="W321" s="113">
        <v>45524</v>
      </c>
      <c r="X321" s="134">
        <v>1.4</v>
      </c>
      <c r="Y321" s="312">
        <v>1.4</v>
      </c>
      <c r="Z321" s="163">
        <v>84.271844660194176</v>
      </c>
    </row>
    <row r="322" spans="2:29" s="313" customFormat="1" ht="12" customHeight="1">
      <c r="B322" s="531" t="s">
        <v>164</v>
      </c>
      <c r="C322" s="270" t="s">
        <v>164</v>
      </c>
      <c r="D322" s="546">
        <v>137.19999999999999</v>
      </c>
      <c r="E322" s="129">
        <v>109.4</v>
      </c>
      <c r="F322" s="129">
        <v>121.1</v>
      </c>
      <c r="G322" s="401">
        <v>335488</v>
      </c>
      <c r="H322" s="400">
        <v>155.80000000000001</v>
      </c>
      <c r="I322" s="130">
        <f t="shared" si="247"/>
        <v>2153.3247753530163</v>
      </c>
      <c r="J322" s="130">
        <f>AVERAGE(I311:I322)</f>
        <v>2592.2391248333111</v>
      </c>
      <c r="K322" s="133">
        <f>J322/$J$85*100</f>
        <v>113.42673094763536</v>
      </c>
      <c r="L322" s="130">
        <v>8634.3424732602707</v>
      </c>
      <c r="M322" s="130">
        <v>6529.9715160714995</v>
      </c>
      <c r="N322" s="130">
        <f t="shared" ref="N322:N323" si="253">($L$13*L322+$M$13*M322)/100</f>
        <v>7900.9861309363205</v>
      </c>
      <c r="O322" s="132">
        <f t="shared" si="252"/>
        <v>99.090580638223585</v>
      </c>
      <c r="P322" s="130">
        <v>155200</v>
      </c>
      <c r="Q322" s="130">
        <v>17060</v>
      </c>
      <c r="R322" s="130">
        <f t="shared" si="248"/>
        <v>86130</v>
      </c>
      <c r="S322" s="133">
        <f t="shared" si="249"/>
        <v>101.37115282763492</v>
      </c>
      <c r="T322" s="159">
        <v>122.6</v>
      </c>
      <c r="U322" s="133">
        <v>113.42673094763536</v>
      </c>
      <c r="V322" s="133">
        <v>115.50906302252213</v>
      </c>
      <c r="W322" s="113">
        <v>45554</v>
      </c>
      <c r="X322" s="134">
        <v>1.3</v>
      </c>
      <c r="Y322" s="312">
        <v>1.3599999999999999</v>
      </c>
      <c r="Z322" s="163">
        <v>81.864077669902912</v>
      </c>
    </row>
    <row r="323" spans="2:29" s="313" customFormat="1" ht="12" customHeight="1">
      <c r="B323" s="531" t="s">
        <v>165</v>
      </c>
      <c r="C323" s="270" t="s">
        <v>165</v>
      </c>
      <c r="D323" s="546">
        <v>137.19999999999999</v>
      </c>
      <c r="E323" s="129">
        <v>109.4</v>
      </c>
      <c r="F323" s="129">
        <v>119.9</v>
      </c>
      <c r="G323" s="401">
        <v>335946</v>
      </c>
      <c r="H323" s="400">
        <v>160.5</v>
      </c>
      <c r="I323" s="130">
        <f t="shared" si="247"/>
        <v>2093.1214953271028</v>
      </c>
      <c r="J323" s="130">
        <f t="shared" ref="J323" si="254">AVERAGE(I312:I323)</f>
        <v>2598.7419940541845</v>
      </c>
      <c r="K323" s="133">
        <f t="shared" ref="K323" si="255">J323/$J$85*100</f>
        <v>113.71127228891733</v>
      </c>
      <c r="L323" s="130">
        <v>8634.3424430925006</v>
      </c>
      <c r="M323" s="130">
        <v>6529.9715251693715</v>
      </c>
      <c r="N323" s="130">
        <f t="shared" si="253"/>
        <v>7900.9861144523111</v>
      </c>
      <c r="O323" s="132">
        <f t="shared" si="252"/>
        <v>99.090580431488618</v>
      </c>
      <c r="P323" s="130">
        <v>316200</v>
      </c>
      <c r="Q323" s="130">
        <v>13680</v>
      </c>
      <c r="R323" s="130">
        <f t="shared" si="248"/>
        <v>164940</v>
      </c>
      <c r="S323" s="133">
        <f t="shared" si="249"/>
        <v>194.12699346789856</v>
      </c>
      <c r="T323" s="159">
        <v>122.4</v>
      </c>
      <c r="U323" s="133">
        <v>113.71127228891733</v>
      </c>
      <c r="V323" s="133">
        <v>115.68361347933309</v>
      </c>
      <c r="W323" s="113">
        <v>45586</v>
      </c>
      <c r="X323" s="134">
        <v>1.2</v>
      </c>
      <c r="Y323" s="312">
        <v>1.2645161290322582</v>
      </c>
      <c r="Z323" s="163">
        <v>76.116504854368955</v>
      </c>
    </row>
    <row r="324" spans="2:29" s="313" customFormat="1" ht="12" customHeight="1">
      <c r="B324" s="531" t="s">
        <v>166</v>
      </c>
      <c r="C324" s="270" t="s">
        <v>166</v>
      </c>
      <c r="D324" s="546">
        <v>137.30000000000001</v>
      </c>
      <c r="E324" s="129">
        <v>109.4</v>
      </c>
      <c r="F324" s="129">
        <v>120.1</v>
      </c>
      <c r="G324" s="130">
        <v>359136</v>
      </c>
      <c r="H324" s="129">
        <v>165.3</v>
      </c>
      <c r="I324" s="130">
        <f t="shared" si="247"/>
        <v>2172.6315789473683</v>
      </c>
      <c r="J324" s="130">
        <f>AVERAGE(I313:I324)</f>
        <v>2603.3411254296316</v>
      </c>
      <c r="K324" s="133">
        <f>J324/$J$85*100</f>
        <v>113.91251315135096</v>
      </c>
      <c r="L324" s="130">
        <v>8634.3424108412655</v>
      </c>
      <c r="M324" s="130">
        <v>6529.9715318768094</v>
      </c>
      <c r="N324" s="130">
        <f>($L$13*L324+$M$13*M324)/100</f>
        <v>7900.986095777861</v>
      </c>
      <c r="O324" s="132">
        <f t="shared" si="252"/>
        <v>99.090580197282137</v>
      </c>
      <c r="P324" s="130">
        <v>160300</v>
      </c>
      <c r="Q324" s="130">
        <v>14270</v>
      </c>
      <c r="R324" s="130">
        <f t="shared" si="248"/>
        <v>87285</v>
      </c>
      <c r="S324" s="133">
        <f t="shared" si="249"/>
        <v>102.73053610310127</v>
      </c>
      <c r="T324" s="159">
        <v>120.5</v>
      </c>
      <c r="U324" s="133">
        <v>113.91251315135096</v>
      </c>
      <c r="V324" s="133">
        <v>115.40787266599429</v>
      </c>
      <c r="W324" s="113">
        <v>45614</v>
      </c>
      <c r="X324" s="134">
        <v>1.3</v>
      </c>
      <c r="Y324" s="312">
        <v>1.2433333333333332</v>
      </c>
      <c r="Z324" s="163">
        <v>74.841423948220068</v>
      </c>
    </row>
    <row r="325" spans="2:29" s="313" customFormat="1" ht="12" customHeight="1">
      <c r="B325" s="452" t="s">
        <v>167</v>
      </c>
      <c r="C325" s="287" t="s">
        <v>167</v>
      </c>
      <c r="D325" s="564">
        <v>137.4</v>
      </c>
      <c r="E325" s="565">
        <v>109.7</v>
      </c>
      <c r="F325" s="565">
        <v>120.9</v>
      </c>
      <c r="G325" s="566">
        <v>797009</v>
      </c>
      <c r="H325" s="565">
        <v>158.4</v>
      </c>
      <c r="I325" s="566">
        <f t="shared" si="247"/>
        <v>5031.6224747474744</v>
      </c>
      <c r="J325" s="566">
        <f t="shared" ref="J325:J333" si="256">AVERAGE(I314:I325)</f>
        <v>2629.8648726729893</v>
      </c>
      <c r="K325" s="584">
        <f t="shared" ref="K325:K332" si="257">J325/$J$85*100</f>
        <v>115.07309355979953</v>
      </c>
      <c r="L325" s="566">
        <v>8634.3423776157379</v>
      </c>
      <c r="M325" s="566">
        <v>6529.9715359769734</v>
      </c>
      <c r="N325" s="566">
        <f t="shared" ref="N325" si="258">($L$13*L325+$M$13*M325)/100</f>
        <v>7900.9860755600357</v>
      </c>
      <c r="O325" s="585">
        <f t="shared" si="252"/>
        <v>99.090579943719362</v>
      </c>
      <c r="P325" s="566">
        <v>172800</v>
      </c>
      <c r="Q325" s="566">
        <v>18380</v>
      </c>
      <c r="R325" s="566">
        <f t="shared" si="248"/>
        <v>95590</v>
      </c>
      <c r="S325" s="584">
        <f t="shared" si="249"/>
        <v>112.50514917907373</v>
      </c>
      <c r="T325" s="586">
        <v>120.5</v>
      </c>
      <c r="U325" s="584">
        <v>115.07309355979953</v>
      </c>
      <c r="V325" s="584">
        <v>116.3204342335363</v>
      </c>
      <c r="W325" s="573">
        <v>45644</v>
      </c>
      <c r="X325" s="574">
        <v>1.4</v>
      </c>
      <c r="Y325" s="575">
        <v>1.3451612903225807</v>
      </c>
      <c r="Z325" s="576">
        <v>80.970873786407779</v>
      </c>
    </row>
    <row r="326" spans="2:29" s="313" customFormat="1" ht="12" customHeight="1">
      <c r="B326" s="531" t="s">
        <v>417</v>
      </c>
      <c r="C326" s="262" t="s">
        <v>418</v>
      </c>
      <c r="D326" s="546">
        <v>137.9</v>
      </c>
      <c r="E326" s="129">
        <v>110.9</v>
      </c>
      <c r="F326" s="129">
        <v>122.3</v>
      </c>
      <c r="G326" s="401">
        <v>335125</v>
      </c>
      <c r="H326" s="400">
        <v>143.19999999999999</v>
      </c>
      <c r="I326" s="130">
        <f t="shared" si="247"/>
        <v>2340.2583798882683</v>
      </c>
      <c r="J326" s="130">
        <f t="shared" si="256"/>
        <v>2632.8580355360186</v>
      </c>
      <c r="K326" s="133">
        <f t="shared" si="257"/>
        <v>115.20406322054374</v>
      </c>
      <c r="L326" s="130">
        <v>8634.3423447938912</v>
      </c>
      <c r="M326" s="130">
        <v>6529.9715372741775</v>
      </c>
      <c r="N326" s="130">
        <f>($L$13*L326+$M$13*M326)/100</f>
        <v>7900.9860546284044</v>
      </c>
      <c r="O326" s="132">
        <f>N326/$N$85*100</f>
        <v>99.090579681204332</v>
      </c>
      <c r="P326" s="130">
        <v>354600</v>
      </c>
      <c r="Q326" s="130">
        <v>20880</v>
      </c>
      <c r="R326" s="130">
        <f t="shared" si="248"/>
        <v>187740</v>
      </c>
      <c r="S326" s="133">
        <f t="shared" si="249"/>
        <v>220.96157241216972</v>
      </c>
      <c r="T326" s="159">
        <v>121.2</v>
      </c>
      <c r="U326" s="133">
        <v>115.29612995486175</v>
      </c>
      <c r="V326" s="133">
        <f>($T$13*T326+$U$13*U326)/100</f>
        <v>116.63630845510814</v>
      </c>
      <c r="W326" s="113">
        <v>45312</v>
      </c>
      <c r="X326" s="134">
        <v>1.4</v>
      </c>
      <c r="Y326" s="312">
        <v>1.4</v>
      </c>
      <c r="Z326" s="163">
        <v>84.271844660194176</v>
      </c>
      <c r="AA326" s="545"/>
      <c r="AB326" s="545"/>
      <c r="AC326" s="545"/>
    </row>
    <row r="327" spans="2:29" s="313" customFormat="1" ht="12" customHeight="1">
      <c r="B327" s="531" t="s">
        <v>423</v>
      </c>
      <c r="C327" s="262" t="s">
        <v>423</v>
      </c>
      <c r="D327" s="546">
        <v>138.9</v>
      </c>
      <c r="E327" s="129">
        <v>111</v>
      </c>
      <c r="F327" s="129">
        <v>123</v>
      </c>
      <c r="G327" s="401">
        <v>332176</v>
      </c>
      <c r="H327" s="400">
        <v>155.9</v>
      </c>
      <c r="I327" s="130">
        <f t="shared" si="247"/>
        <v>2130.6991661321358</v>
      </c>
      <c r="J327" s="130">
        <f t="shared" si="256"/>
        <v>2640.4922017158201</v>
      </c>
      <c r="K327" s="133">
        <f t="shared" si="257"/>
        <v>115.53810590394842</v>
      </c>
      <c r="L327" s="130">
        <v>8634.3423139042061</v>
      </c>
      <c r="M327" s="130">
        <v>6529.9715356640063</v>
      </c>
      <c r="N327" s="130">
        <f t="shared" ref="N327:N332" si="259">($L$13*L327+$M$13*M327)/100</f>
        <v>7900.9860339423931</v>
      </c>
      <c r="O327" s="132">
        <f t="shared" ref="O327:O328" si="260">N327/$N$85*100</f>
        <v>99.090579421769775</v>
      </c>
      <c r="P327" s="130">
        <v>208900</v>
      </c>
      <c r="Q327" s="130">
        <v>32420</v>
      </c>
      <c r="R327" s="130">
        <f t="shared" si="248"/>
        <v>120660</v>
      </c>
      <c r="S327" s="133">
        <f t="shared" si="249"/>
        <v>142.0114164656035</v>
      </c>
      <c r="T327" s="162">
        <v>121.6</v>
      </c>
      <c r="U327" s="133">
        <f>K327</f>
        <v>115.53810590394842</v>
      </c>
      <c r="V327" s="133">
        <f t="shared" ref="V327:V331" si="261">($T$13*T327+$U$13*U327)/100</f>
        <v>116.91415586375213</v>
      </c>
      <c r="W327" s="113">
        <v>45342</v>
      </c>
      <c r="X327" s="134">
        <v>1.5</v>
      </c>
      <c r="Y327" s="312">
        <v>1.4321428571428572</v>
      </c>
      <c r="Z327" s="163">
        <v>86.20665742024967</v>
      </c>
      <c r="AA327" s="545"/>
      <c r="AB327" s="545"/>
      <c r="AC327" s="545"/>
    </row>
    <row r="328" spans="2:29" s="313" customFormat="1" ht="12" customHeight="1">
      <c r="B328" s="531" t="s">
        <v>168</v>
      </c>
      <c r="C328" s="262" t="s">
        <v>168</v>
      </c>
      <c r="D328" s="605"/>
      <c r="E328" s="606"/>
      <c r="F328" s="606"/>
      <c r="G328" s="607"/>
      <c r="H328" s="608"/>
      <c r="I328" s="609" t="e">
        <f t="shared" si="247"/>
        <v>#DIV/0!</v>
      </c>
      <c r="J328" s="609" t="e">
        <f t="shared" si="256"/>
        <v>#DIV/0!</v>
      </c>
      <c r="K328" s="610" t="e">
        <f t="shared" si="257"/>
        <v>#DIV/0!</v>
      </c>
      <c r="L328" s="609">
        <v>8634.3422864826116</v>
      </c>
      <c r="M328" s="609">
        <v>6529.9715311992122</v>
      </c>
      <c r="N328" s="609">
        <f t="shared" si="259"/>
        <v>7900.9860145210587</v>
      </c>
      <c r="O328" s="611">
        <f t="shared" si="260"/>
        <v>99.090579178196222</v>
      </c>
      <c r="P328" s="609"/>
      <c r="Q328" s="609"/>
      <c r="R328" s="609" t="e">
        <f t="shared" si="248"/>
        <v>#DIV/0!</v>
      </c>
      <c r="S328" s="610" t="e">
        <f t="shared" si="249"/>
        <v>#DIV/0!</v>
      </c>
      <c r="T328" s="617"/>
      <c r="U328" s="610" t="e">
        <f>K328</f>
        <v>#DIV/0!</v>
      </c>
      <c r="V328" s="610" t="e">
        <f t="shared" si="261"/>
        <v>#DIV/0!</v>
      </c>
      <c r="W328" s="613">
        <v>45370</v>
      </c>
      <c r="X328" s="614">
        <v>1.7</v>
      </c>
      <c r="Y328" s="615">
        <v>1.5838709677419354</v>
      </c>
      <c r="Z328" s="616">
        <v>95.339805825242721</v>
      </c>
      <c r="AA328" s="545"/>
      <c r="AB328" s="545"/>
      <c r="AC328" s="545"/>
    </row>
    <row r="329" spans="2:29" s="313" customFormat="1" ht="12" customHeight="1">
      <c r="B329" s="531" t="s">
        <v>424</v>
      </c>
      <c r="C329" s="262" t="s">
        <v>424</v>
      </c>
      <c r="D329" s="605"/>
      <c r="E329" s="606"/>
      <c r="F329" s="606"/>
      <c r="G329" s="607"/>
      <c r="H329" s="608"/>
      <c r="I329" s="609" t="e">
        <f t="shared" si="247"/>
        <v>#DIV/0!</v>
      </c>
      <c r="J329" s="609" t="e">
        <f t="shared" si="256"/>
        <v>#DIV/0!</v>
      </c>
      <c r="K329" s="610" t="e">
        <f t="shared" si="257"/>
        <v>#DIV/0!</v>
      </c>
      <c r="L329" s="609">
        <v>8634.3422639492765</v>
      </c>
      <c r="M329" s="609">
        <v>6529.9715241259828</v>
      </c>
      <c r="N329" s="609">
        <f t="shared" si="259"/>
        <v>7900.9859973754474</v>
      </c>
      <c r="O329" s="611">
        <f>N329/$N$85*100</f>
        <v>99.09057896316375</v>
      </c>
      <c r="P329" s="609"/>
      <c r="Q329" s="609"/>
      <c r="R329" s="609" t="e">
        <f t="shared" si="248"/>
        <v>#DIV/0!</v>
      </c>
      <c r="S329" s="610" t="e">
        <f t="shared" si="249"/>
        <v>#DIV/0!</v>
      </c>
      <c r="T329" s="612"/>
      <c r="U329" s="610" t="e">
        <f t="shared" ref="U329:U331" si="262">K329</f>
        <v>#DIV/0!</v>
      </c>
      <c r="V329" s="610" t="e">
        <f t="shared" si="261"/>
        <v>#DIV/0!</v>
      </c>
      <c r="W329" s="613">
        <v>45400</v>
      </c>
      <c r="X329" s="614">
        <v>1.9</v>
      </c>
      <c r="Y329" s="615">
        <v>1.7866666666666666</v>
      </c>
      <c r="Z329" s="616">
        <v>107.54692556634305</v>
      </c>
      <c r="AA329" s="545"/>
      <c r="AB329" s="545"/>
      <c r="AC329" s="545"/>
    </row>
    <row r="330" spans="2:29" s="313" customFormat="1" ht="12" customHeight="1">
      <c r="B330" s="531" t="s">
        <v>160</v>
      </c>
      <c r="C330" s="262" t="s">
        <v>160</v>
      </c>
      <c r="D330" s="605"/>
      <c r="E330" s="606"/>
      <c r="F330" s="606"/>
      <c r="G330" s="607"/>
      <c r="H330" s="608"/>
      <c r="I330" s="609" t="e">
        <f t="shared" si="247"/>
        <v>#DIV/0!</v>
      </c>
      <c r="J330" s="609" t="e">
        <f t="shared" si="256"/>
        <v>#DIV/0!</v>
      </c>
      <c r="K330" s="610" t="e">
        <f t="shared" si="257"/>
        <v>#DIV/0!</v>
      </c>
      <c r="L330" s="609">
        <v>8634.3422474060208</v>
      </c>
      <c r="M330" s="609">
        <v>6529.9715148931782</v>
      </c>
      <c r="N330" s="609">
        <f t="shared" si="259"/>
        <v>7900.9859833798246</v>
      </c>
      <c r="O330" s="611">
        <f t="shared" ref="O330:O337" si="263">N330/$N$85*100</f>
        <v>99.090578787637014</v>
      </c>
      <c r="P330" s="609"/>
      <c r="Q330" s="609"/>
      <c r="R330" s="609" t="e">
        <f t="shared" si="248"/>
        <v>#DIV/0!</v>
      </c>
      <c r="S330" s="610" t="e">
        <f t="shared" si="249"/>
        <v>#DIV/0!</v>
      </c>
      <c r="T330" s="612"/>
      <c r="U330" s="610" t="e">
        <f t="shared" si="262"/>
        <v>#DIV/0!</v>
      </c>
      <c r="V330" s="610" t="e">
        <f t="shared" si="261"/>
        <v>#DIV/0!</v>
      </c>
      <c r="W330" s="613"/>
      <c r="X330" s="614"/>
      <c r="Y330" s="615"/>
      <c r="Z330" s="616"/>
      <c r="AA330" s="545"/>
      <c r="AB330" s="545"/>
      <c r="AC330" s="545"/>
    </row>
    <row r="331" spans="2:29" s="313" customFormat="1" ht="12" customHeight="1">
      <c r="B331" s="531" t="s">
        <v>161</v>
      </c>
      <c r="C331" s="262" t="s">
        <v>161</v>
      </c>
      <c r="D331" s="605"/>
      <c r="E331" s="606"/>
      <c r="F331" s="606"/>
      <c r="G331" s="607"/>
      <c r="H331" s="608"/>
      <c r="I331" s="609" t="e">
        <f t="shared" si="247"/>
        <v>#DIV/0!</v>
      </c>
      <c r="J331" s="609" t="e">
        <f t="shared" si="256"/>
        <v>#DIV/0!</v>
      </c>
      <c r="K331" s="610" t="e">
        <f t="shared" si="257"/>
        <v>#DIV/0!</v>
      </c>
      <c r="L331" s="609">
        <v>8634.3422374729853</v>
      </c>
      <c r="M331" s="609">
        <v>6529.9715041333711</v>
      </c>
      <c r="N331" s="609">
        <f t="shared" si="259"/>
        <v>7900.9859731586648</v>
      </c>
      <c r="O331" s="611">
        <f t="shared" si="263"/>
        <v>99.090578659447857</v>
      </c>
      <c r="P331" s="609"/>
      <c r="Q331" s="609"/>
      <c r="R331" s="609" t="e">
        <f t="shared" si="248"/>
        <v>#DIV/0!</v>
      </c>
      <c r="S331" s="610" t="e">
        <f>R331/$R$85*100</f>
        <v>#DIV/0!</v>
      </c>
      <c r="T331" s="617"/>
      <c r="U331" s="610" t="e">
        <f t="shared" si="262"/>
        <v>#DIV/0!</v>
      </c>
      <c r="V331" s="610" t="e">
        <f t="shared" si="261"/>
        <v>#DIV/0!</v>
      </c>
      <c r="W331" s="613"/>
      <c r="X331" s="614"/>
      <c r="Y331" s="615"/>
      <c r="Z331" s="616"/>
      <c r="AA331" s="545"/>
      <c r="AB331" s="545"/>
      <c r="AC331" s="545"/>
    </row>
    <row r="332" spans="2:29" s="313" customFormat="1" ht="12" customHeight="1">
      <c r="B332" s="531" t="s">
        <v>425</v>
      </c>
      <c r="C332" s="262" t="s">
        <v>425</v>
      </c>
      <c r="D332" s="605"/>
      <c r="E332" s="606"/>
      <c r="F332" s="606"/>
      <c r="G332" s="607"/>
      <c r="H332" s="608"/>
      <c r="I332" s="609" t="e">
        <f t="shared" si="247"/>
        <v>#DIV/0!</v>
      </c>
      <c r="J332" s="609" t="e">
        <f t="shared" si="256"/>
        <v>#DIV/0!</v>
      </c>
      <c r="K332" s="610" t="e">
        <f t="shared" si="257"/>
        <v>#DIV/0!</v>
      </c>
      <c r="L332" s="609">
        <v>8634.3422341853402</v>
      </c>
      <c r="M332" s="609">
        <v>6529.9714926219958</v>
      </c>
      <c r="N332" s="609">
        <f t="shared" si="259"/>
        <v>7900.9859670051164</v>
      </c>
      <c r="O332" s="611">
        <f t="shared" si="263"/>
        <v>99.090578582272855</v>
      </c>
      <c r="P332" s="609"/>
      <c r="Q332" s="609"/>
      <c r="R332" s="609" t="e">
        <f t="shared" si="248"/>
        <v>#DIV/0!</v>
      </c>
      <c r="S332" s="610" t="e">
        <f t="shared" ref="S332:S337" si="264">R332/$R$85*100</f>
        <v>#DIV/0!</v>
      </c>
      <c r="T332" s="617"/>
      <c r="U332" s="610" t="e">
        <f>K332</f>
        <v>#DIV/0!</v>
      </c>
      <c r="V332" s="610" t="e">
        <f>($T$13*T332+$U$13*U332)/100</f>
        <v>#DIV/0!</v>
      </c>
      <c r="W332" s="613"/>
      <c r="X332" s="614"/>
      <c r="Y332" s="615"/>
      <c r="Z332" s="616"/>
      <c r="AA332" s="545"/>
      <c r="AB332" s="545"/>
      <c r="AC332" s="545"/>
    </row>
    <row r="333" spans="2:29" s="313" customFormat="1" ht="12" customHeight="1">
      <c r="B333" s="531" t="s">
        <v>426</v>
      </c>
      <c r="C333" s="262" t="s">
        <v>426</v>
      </c>
      <c r="D333" s="605"/>
      <c r="E333" s="606"/>
      <c r="F333" s="606"/>
      <c r="G333" s="607"/>
      <c r="H333" s="608"/>
      <c r="I333" s="609" t="e">
        <f t="shared" si="247"/>
        <v>#DIV/0!</v>
      </c>
      <c r="J333" s="609" t="e">
        <f t="shared" si="256"/>
        <v>#DIV/0!</v>
      </c>
      <c r="K333" s="610" t="e">
        <f>J333/$J$85*100</f>
        <v>#DIV/0!</v>
      </c>
      <c r="L333" s="609">
        <v>8634.3422369897817</v>
      </c>
      <c r="M333" s="609">
        <v>6529.9714811859803</v>
      </c>
      <c r="N333" s="609">
        <f>($L$13*L333+$M$13*M333)/100</f>
        <v>7900.9859648468737</v>
      </c>
      <c r="O333" s="611">
        <f t="shared" si="263"/>
        <v>99.090578555205141</v>
      </c>
      <c r="P333" s="609"/>
      <c r="Q333" s="609"/>
      <c r="R333" s="609" t="e">
        <f t="shared" si="248"/>
        <v>#DIV/0!</v>
      </c>
      <c r="S333" s="610" t="e">
        <f t="shared" si="264"/>
        <v>#DIV/0!</v>
      </c>
      <c r="T333" s="617"/>
      <c r="U333" s="610" t="e">
        <f>K333</f>
        <v>#DIV/0!</v>
      </c>
      <c r="V333" s="610" t="e">
        <f>($T$13*T333+$U$13*U333)/100</f>
        <v>#DIV/0!</v>
      </c>
      <c r="W333" s="613"/>
      <c r="X333" s="614"/>
      <c r="Y333" s="615"/>
      <c r="Z333" s="616"/>
    </row>
    <row r="334" spans="2:29" s="313" customFormat="1" ht="12" customHeight="1">
      <c r="B334" s="531" t="s">
        <v>164</v>
      </c>
      <c r="C334" s="262" t="s">
        <v>164</v>
      </c>
      <c r="D334" s="605"/>
      <c r="E334" s="606"/>
      <c r="F334" s="606"/>
      <c r="G334" s="607"/>
      <c r="H334" s="608"/>
      <c r="I334" s="609" t="e">
        <f t="shared" si="247"/>
        <v>#DIV/0!</v>
      </c>
      <c r="J334" s="609" t="e">
        <f>AVERAGE(I323:I334)</f>
        <v>#DIV/0!</v>
      </c>
      <c r="K334" s="610" t="e">
        <f>J334/$J$85*100</f>
        <v>#DIV/0!</v>
      </c>
      <c r="L334" s="609">
        <v>8634.3422448970414</v>
      </c>
      <c r="M334" s="609">
        <v>6529.971470596709</v>
      </c>
      <c r="N334" s="609">
        <f t="shared" ref="N334:N335" si="265">($L$13*L334+$M$13*M334)/100</f>
        <v>7900.9859663082416</v>
      </c>
      <c r="O334" s="611">
        <f t="shared" si="263"/>
        <v>99.090578573532966</v>
      </c>
      <c r="P334" s="609"/>
      <c r="Q334" s="609"/>
      <c r="R334" s="609" t="e">
        <f t="shared" si="248"/>
        <v>#DIV/0!</v>
      </c>
      <c r="S334" s="610" t="e">
        <f t="shared" si="264"/>
        <v>#DIV/0!</v>
      </c>
      <c r="T334" s="617"/>
      <c r="U334" s="610" t="e">
        <f>K334</f>
        <v>#DIV/0!</v>
      </c>
      <c r="V334" s="610" t="e">
        <f>($T$13*T334+$U$13*U334)/100</f>
        <v>#DIV/0!</v>
      </c>
      <c r="W334" s="613"/>
      <c r="X334" s="614"/>
      <c r="Y334" s="615"/>
      <c r="Z334" s="616"/>
    </row>
    <row r="335" spans="2:29" s="313" customFormat="1" ht="12" customHeight="1">
      <c r="B335" s="531" t="s">
        <v>165</v>
      </c>
      <c r="C335" s="262" t="s">
        <v>165</v>
      </c>
      <c r="D335" s="605"/>
      <c r="E335" s="606"/>
      <c r="F335" s="606"/>
      <c r="G335" s="607"/>
      <c r="H335" s="608"/>
      <c r="I335" s="609" t="e">
        <f t="shared" si="247"/>
        <v>#DIV/0!</v>
      </c>
      <c r="J335" s="609" t="e">
        <f t="shared" ref="J335" si="266">AVERAGE(I324:I335)</f>
        <v>#DIV/0!</v>
      </c>
      <c r="K335" s="610" t="e">
        <f t="shared" ref="K335" si="267">J335/$J$85*100</f>
        <v>#DIV/0!</v>
      </c>
      <c r="L335" s="609">
        <v>8634.3422566461941</v>
      </c>
      <c r="M335" s="609">
        <v>6529.9714614504346</v>
      </c>
      <c r="N335" s="609">
        <f t="shared" si="265"/>
        <v>7900.9859707755058</v>
      </c>
      <c r="O335" s="611">
        <f t="shared" si="263"/>
        <v>99.09057862955936</v>
      </c>
      <c r="P335" s="609"/>
      <c r="Q335" s="609"/>
      <c r="R335" s="609" t="e">
        <f t="shared" si="248"/>
        <v>#DIV/0!</v>
      </c>
      <c r="S335" s="610" t="e">
        <f t="shared" si="264"/>
        <v>#DIV/0!</v>
      </c>
      <c r="T335" s="617"/>
      <c r="U335" s="610" t="e">
        <f>K335</f>
        <v>#DIV/0!</v>
      </c>
      <c r="V335" s="610" t="e">
        <f t="shared" ref="V335:V337" si="268">($T$13*T335+$U$13*U335)/100</f>
        <v>#DIV/0!</v>
      </c>
      <c r="W335" s="613"/>
      <c r="X335" s="614"/>
      <c r="Y335" s="615"/>
      <c r="Z335" s="616"/>
    </row>
    <row r="336" spans="2:29" s="313" customFormat="1" ht="12" customHeight="1">
      <c r="B336" s="531" t="s">
        <v>166</v>
      </c>
      <c r="C336" s="262" t="s">
        <v>166</v>
      </c>
      <c r="D336" s="605"/>
      <c r="E336" s="606"/>
      <c r="F336" s="606"/>
      <c r="G336" s="609"/>
      <c r="H336" s="606"/>
      <c r="I336" s="609" t="e">
        <f t="shared" si="247"/>
        <v>#DIV/0!</v>
      </c>
      <c r="J336" s="609" t="e">
        <f>AVERAGE(I325:I336)</f>
        <v>#DIV/0!</v>
      </c>
      <c r="K336" s="610" t="e">
        <f>J336/$J$85*100</f>
        <v>#DIV/0!</v>
      </c>
      <c r="L336" s="609">
        <v>8634.3422708876587</v>
      </c>
      <c r="M336" s="609">
        <v>6529.9714540959239</v>
      </c>
      <c r="N336" s="609">
        <f>($L$13*L336+$M$13*M336)/100</f>
        <v>7900.9859774909473</v>
      </c>
      <c r="O336" s="611">
        <f t="shared" si="263"/>
        <v>99.090578713781369</v>
      </c>
      <c r="P336" s="609"/>
      <c r="Q336" s="609"/>
      <c r="R336" s="609" t="e">
        <f t="shared" si="248"/>
        <v>#DIV/0!</v>
      </c>
      <c r="S336" s="610" t="e">
        <f t="shared" si="264"/>
        <v>#DIV/0!</v>
      </c>
      <c r="T336" s="617"/>
      <c r="U336" s="610" t="e">
        <f t="shared" ref="U336:U337" si="269">K336</f>
        <v>#DIV/0!</v>
      </c>
      <c r="V336" s="610" t="e">
        <f t="shared" si="268"/>
        <v>#DIV/0!</v>
      </c>
      <c r="W336" s="613"/>
      <c r="X336" s="614"/>
      <c r="Y336" s="615"/>
      <c r="Z336" s="616"/>
    </row>
    <row r="337" spans="2:26" s="313" customFormat="1" ht="12" customHeight="1">
      <c r="B337" s="452" t="s">
        <v>167</v>
      </c>
      <c r="C337" s="267" t="s">
        <v>167</v>
      </c>
      <c r="D337" s="618"/>
      <c r="E337" s="619"/>
      <c r="F337" s="619"/>
      <c r="G337" s="620"/>
      <c r="H337" s="619"/>
      <c r="I337" s="620" t="e">
        <f t="shared" si="247"/>
        <v>#DIV/0!</v>
      </c>
      <c r="J337" s="620" t="e">
        <f t="shared" ref="J337" si="270">AVERAGE(I326:I337)</f>
        <v>#DIV/0!</v>
      </c>
      <c r="K337" s="621" t="e">
        <f t="shared" ref="K337" si="271">J337/$J$85*100</f>
        <v>#DIV/0!</v>
      </c>
      <c r="L337" s="620">
        <v>8634.3422864074037</v>
      </c>
      <c r="M337" s="620">
        <v>6529.9714486498015</v>
      </c>
      <c r="N337" s="620">
        <f t="shared" ref="N337" si="272">($L$13*L337+$M$13*M337)/100</f>
        <v>7900.9859857042557</v>
      </c>
      <c r="O337" s="622">
        <f t="shared" si="263"/>
        <v>99.090578816788963</v>
      </c>
      <c r="P337" s="620"/>
      <c r="Q337" s="620"/>
      <c r="R337" s="620" t="e">
        <f t="shared" si="248"/>
        <v>#DIV/0!</v>
      </c>
      <c r="S337" s="621" t="e">
        <f t="shared" si="264"/>
        <v>#DIV/0!</v>
      </c>
      <c r="T337" s="623"/>
      <c r="U337" s="621" t="e">
        <f t="shared" si="269"/>
        <v>#DIV/0!</v>
      </c>
      <c r="V337" s="621" t="e">
        <f t="shared" si="268"/>
        <v>#DIV/0!</v>
      </c>
      <c r="W337" s="624"/>
      <c r="X337" s="625"/>
      <c r="Y337" s="626"/>
      <c r="Z337" s="627"/>
    </row>
    <row r="338" spans="2:26" ht="12" customHeight="1">
      <c r="B338" s="241" t="s">
        <v>335</v>
      </c>
      <c r="C338" s="107"/>
      <c r="D338" s="107"/>
      <c r="E338" s="107"/>
      <c r="F338" s="107"/>
      <c r="G338" s="107"/>
      <c r="H338" s="107"/>
      <c r="I338" s="107"/>
      <c r="J338" s="107"/>
      <c r="K338" s="107"/>
      <c r="L338" s="107"/>
      <c r="M338" s="107"/>
      <c r="N338" s="107"/>
      <c r="O338" s="107"/>
      <c r="P338" s="107"/>
      <c r="Q338" s="107"/>
      <c r="R338" s="107"/>
      <c r="S338" s="107"/>
      <c r="T338" s="107"/>
      <c r="U338" s="107"/>
      <c r="V338" s="107"/>
      <c r="W338" s="107"/>
      <c r="X338" s="107"/>
      <c r="Y338" s="577"/>
      <c r="Z338" s="578"/>
    </row>
    <row r="339" spans="2:26" ht="12" customHeight="1">
      <c r="B339" s="87" t="s">
        <v>296</v>
      </c>
      <c r="C339" s="107"/>
      <c r="D339" s="107"/>
      <c r="E339" s="107"/>
      <c r="F339" s="107"/>
      <c r="G339" s="107"/>
      <c r="H339" s="107"/>
      <c r="I339" s="107"/>
      <c r="J339" s="107"/>
      <c r="K339" s="107"/>
      <c r="L339" s="107"/>
      <c r="M339" s="107"/>
      <c r="N339" s="107"/>
      <c r="O339" s="107"/>
      <c r="P339" s="107"/>
      <c r="Q339" s="107"/>
      <c r="R339" s="107"/>
      <c r="S339" s="107"/>
      <c r="T339" s="107"/>
      <c r="U339" s="107"/>
      <c r="V339" s="107"/>
      <c r="W339" s="107"/>
      <c r="X339" s="107"/>
      <c r="Y339" s="107"/>
      <c r="Z339" s="107"/>
    </row>
    <row r="340" spans="2:26" ht="12" customHeight="1">
      <c r="B340" s="87" t="s">
        <v>369</v>
      </c>
      <c r="C340" s="107"/>
      <c r="D340" s="107"/>
      <c r="E340" s="107"/>
      <c r="F340" s="107"/>
      <c r="G340" s="107"/>
      <c r="H340" s="107"/>
      <c r="I340" s="107"/>
      <c r="J340" s="107"/>
      <c r="K340" s="107"/>
      <c r="L340" s="107"/>
      <c r="M340" s="107"/>
      <c r="N340" s="107"/>
      <c r="O340" s="107"/>
      <c r="P340" s="107"/>
      <c r="Q340" s="107"/>
      <c r="R340" s="107"/>
      <c r="S340" s="107"/>
      <c r="T340" s="107"/>
      <c r="U340" s="107"/>
      <c r="V340" s="107"/>
      <c r="W340" s="107"/>
      <c r="X340" s="107"/>
      <c r="Y340" s="107"/>
      <c r="Z340" s="107"/>
    </row>
    <row r="341" spans="2:26" ht="12" customHeight="1">
      <c r="B341" s="193" t="s">
        <v>368</v>
      </c>
      <c r="C341" s="107"/>
      <c r="D341" s="107"/>
      <c r="E341" s="107"/>
      <c r="F341" s="107"/>
      <c r="G341" s="107"/>
      <c r="H341" s="107"/>
      <c r="I341" s="107"/>
      <c r="J341" s="107"/>
      <c r="K341" s="107"/>
      <c r="L341" s="107"/>
      <c r="M341" s="107"/>
      <c r="N341" s="107"/>
      <c r="O341" s="107"/>
      <c r="P341" s="107"/>
      <c r="Q341" s="107"/>
      <c r="R341" s="107"/>
      <c r="S341" s="107"/>
      <c r="T341" s="107"/>
      <c r="U341" s="107"/>
      <c r="V341" s="107"/>
      <c r="W341" s="107"/>
      <c r="X341" s="107"/>
      <c r="Y341" s="107"/>
      <c r="Z341" s="89" t="str">
        <f>'元データ表（DATA1）'!T210</f>
        <v>毎月1回更新、最優更新日2025/4/18</v>
      </c>
    </row>
    <row r="342" spans="2:26" ht="12" customHeight="1">
      <c r="B342" s="193" t="s">
        <v>413</v>
      </c>
      <c r="C342" s="88"/>
      <c r="D342" s="88"/>
      <c r="E342" s="88"/>
      <c r="F342" s="88"/>
      <c r="G342" s="88"/>
      <c r="H342" s="88"/>
      <c r="I342" s="88"/>
      <c r="J342" s="88"/>
      <c r="K342" s="88"/>
      <c r="L342" s="88"/>
    </row>
    <row r="343" spans="2:26" ht="12" customHeight="1">
      <c r="B343" s="88"/>
      <c r="C343" s="88"/>
      <c r="D343" s="88"/>
      <c r="E343" s="88"/>
      <c r="F343" s="88"/>
      <c r="G343" s="88"/>
      <c r="H343" s="88"/>
      <c r="I343" s="88"/>
      <c r="J343" s="88"/>
      <c r="K343" s="88"/>
      <c r="L343" s="88"/>
    </row>
    <row r="344" spans="2:26" ht="12" customHeight="1">
      <c r="B344" s="88"/>
      <c r="C344" s="88"/>
      <c r="D344" s="88"/>
      <c r="E344" s="88"/>
      <c r="F344" s="88"/>
      <c r="G344" s="88"/>
      <c r="H344" s="88"/>
      <c r="I344" s="88"/>
      <c r="J344" s="88"/>
      <c r="K344" s="88"/>
      <c r="L344" s="88"/>
    </row>
    <row r="345" spans="2:26" ht="12" customHeight="1">
      <c r="B345" s="88"/>
      <c r="C345" s="88"/>
      <c r="D345" s="88"/>
      <c r="E345" s="88"/>
      <c r="F345" s="88"/>
      <c r="G345" s="88"/>
      <c r="H345" s="88"/>
      <c r="I345" s="88"/>
      <c r="J345" s="88"/>
      <c r="K345" s="88"/>
      <c r="L345" s="88"/>
    </row>
    <row r="346" spans="2:26" ht="12" customHeight="1">
      <c r="B346" s="88"/>
      <c r="C346" s="88"/>
      <c r="D346" s="88"/>
      <c r="E346" s="88"/>
      <c r="F346" s="88"/>
      <c r="G346" s="88"/>
      <c r="H346" s="88"/>
      <c r="I346" s="88"/>
      <c r="J346" s="88"/>
      <c r="K346" s="88"/>
      <c r="L346" s="88"/>
    </row>
  </sheetData>
  <mergeCells count="42">
    <mergeCell ref="W4:Z4"/>
    <mergeCell ref="B5:C5"/>
    <mergeCell ref="G4:K4"/>
    <mergeCell ref="L4:O4"/>
    <mergeCell ref="P4:S4"/>
    <mergeCell ref="T4:V4"/>
    <mergeCell ref="G5:K5"/>
    <mergeCell ref="L5:O5"/>
    <mergeCell ref="P5:S5"/>
    <mergeCell ref="T5:V5"/>
    <mergeCell ref="W5:Z5"/>
    <mergeCell ref="T6:V9"/>
    <mergeCell ref="V10:V12"/>
    <mergeCell ref="W6:Z9"/>
    <mergeCell ref="D6:F9"/>
    <mergeCell ref="G6:K9"/>
    <mergeCell ref="L6:O9"/>
    <mergeCell ref="W10:W12"/>
    <mergeCell ref="X10:X12"/>
    <mergeCell ref="Y10:Y12"/>
    <mergeCell ref="Z10:Z12"/>
    <mergeCell ref="Q10:Q12"/>
    <mergeCell ref="R10:R12"/>
    <mergeCell ref="S10:S12"/>
    <mergeCell ref="T10:T12"/>
    <mergeCell ref="U10:U12"/>
    <mergeCell ref="B13:C13"/>
    <mergeCell ref="M10:M12"/>
    <mergeCell ref="N10:N12"/>
    <mergeCell ref="O10:O12"/>
    <mergeCell ref="P10:P12"/>
    <mergeCell ref="D10:D12"/>
    <mergeCell ref="E10:E12"/>
    <mergeCell ref="F10:F12"/>
    <mergeCell ref="G10:G12"/>
    <mergeCell ref="B6:C12"/>
    <mergeCell ref="H10:H12"/>
    <mergeCell ref="I10:I12"/>
    <mergeCell ref="J10:J12"/>
    <mergeCell ref="K10:K12"/>
    <mergeCell ref="L10:L12"/>
    <mergeCell ref="P6:S9"/>
  </mergeCells>
  <phoneticPr fontId="2"/>
  <pageMargins left="0.23622047244094491" right="0.23622047244094491" top="0.74803149606299213" bottom="0.74803149606299213" header="0.31496062992125984" footer="0.31496062992125984"/>
  <pageSetup paperSize="9" scale="77" orientation="landscape" horizontalDpi="4294967294" verticalDpi="0" r:id="rId1"/>
  <headerFooter alignWithMargins="0"/>
  <colBreaks count="1" manualBreakCount="1">
    <brk id="15" min="1" max="19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77"/>
  <sheetViews>
    <sheetView showGridLines="0" zoomScaleNormal="100" workbookViewId="0">
      <pane xSplit="3" ySplit="8" topLeftCell="D234" activePane="bottomRight" state="frozen"/>
      <selection activeCell="J188" sqref="J188"/>
      <selection pane="topRight" activeCell="J188" sqref="J188"/>
      <selection pane="bottomLeft" activeCell="J188" sqref="J188"/>
      <selection pane="bottomRight" activeCell="O244" sqref="O244"/>
    </sheetView>
  </sheetViews>
  <sheetFormatPr defaultColWidth="7.625" defaultRowHeight="12" customHeight="1"/>
  <cols>
    <col min="2" max="2" width="7.625" style="190"/>
    <col min="3" max="3" width="10.625" style="190" customWidth="1"/>
    <col min="4" max="4" width="7.625" style="190"/>
    <col min="5" max="5" width="10.625" style="201" customWidth="1"/>
    <col min="6" max="6" width="7.625" style="201"/>
    <col min="7" max="7" width="10.625" style="201" customWidth="1"/>
    <col min="8" max="8" width="7.625" style="190"/>
    <col min="9" max="9" width="10.625" style="190" customWidth="1"/>
  </cols>
  <sheetData>
    <row r="2" spans="2:9" ht="15" customHeight="1">
      <c r="B2" s="405" t="s">
        <v>359</v>
      </c>
      <c r="C2" s="406"/>
      <c r="D2" s="406"/>
      <c r="E2" s="166"/>
      <c r="F2" s="166"/>
      <c r="G2" s="166"/>
      <c r="H2" s="165"/>
      <c r="I2" s="165"/>
    </row>
    <row r="3" spans="2:9" ht="12" customHeight="1">
      <c r="B3" s="167"/>
      <c r="C3" s="165"/>
      <c r="D3" s="165"/>
      <c r="E3" s="166"/>
      <c r="F3" s="166"/>
      <c r="G3" s="166"/>
      <c r="H3" s="165"/>
      <c r="I3" s="165"/>
    </row>
    <row r="4" spans="2:9" ht="12" customHeight="1">
      <c r="B4" s="165"/>
      <c r="C4" s="165"/>
      <c r="D4" s="165"/>
      <c r="E4" s="166"/>
      <c r="F4" s="166"/>
      <c r="G4" s="166"/>
      <c r="H4" s="165"/>
      <c r="I4" s="168" t="s">
        <v>171</v>
      </c>
    </row>
    <row r="5" spans="2:9" ht="12" customHeight="1">
      <c r="B5" s="685" t="s">
        <v>170</v>
      </c>
      <c r="C5" s="686"/>
      <c r="D5" s="667" t="s">
        <v>122</v>
      </c>
      <c r="E5" s="668"/>
      <c r="F5" s="668"/>
      <c r="G5" s="668"/>
      <c r="H5" s="668"/>
      <c r="I5" s="669"/>
    </row>
    <row r="6" spans="2:9" ht="12" customHeight="1">
      <c r="B6" s="687"/>
      <c r="C6" s="688"/>
      <c r="D6" s="651" t="s">
        <v>297</v>
      </c>
      <c r="E6" s="692" t="s">
        <v>172</v>
      </c>
      <c r="F6" s="695" t="s">
        <v>298</v>
      </c>
      <c r="G6" s="695" t="s">
        <v>173</v>
      </c>
      <c r="H6" s="698" t="s">
        <v>143</v>
      </c>
      <c r="I6" s="700" t="s">
        <v>144</v>
      </c>
    </row>
    <row r="7" spans="2:9" ht="12" customHeight="1">
      <c r="B7" s="687"/>
      <c r="C7" s="688"/>
      <c r="D7" s="652"/>
      <c r="E7" s="693"/>
      <c r="F7" s="696"/>
      <c r="G7" s="696"/>
      <c r="H7" s="698"/>
      <c r="I7" s="700"/>
    </row>
    <row r="8" spans="2:9" ht="12" customHeight="1">
      <c r="B8" s="689"/>
      <c r="C8" s="690"/>
      <c r="D8" s="691"/>
      <c r="E8" s="694"/>
      <c r="F8" s="697"/>
      <c r="G8" s="697"/>
      <c r="H8" s="699"/>
      <c r="I8" s="701"/>
    </row>
    <row r="9" spans="2:9" ht="12" hidden="1" customHeight="1">
      <c r="B9" s="273">
        <v>38353</v>
      </c>
      <c r="C9" s="261" t="s">
        <v>266</v>
      </c>
      <c r="D9" s="169">
        <v>98.2</v>
      </c>
      <c r="E9" s="170">
        <v>50680</v>
      </c>
      <c r="F9" s="170">
        <f>'元データ表（積立金・補填金の差額）'!R10</f>
        <v>506</v>
      </c>
      <c r="G9" s="170">
        <f>E9+F9</f>
        <v>51186</v>
      </c>
      <c r="H9" s="171">
        <f>F9/E9*100</f>
        <v>0.99842146803472764</v>
      </c>
      <c r="I9" s="172">
        <f>D9+H9</f>
        <v>99.198421468034724</v>
      </c>
    </row>
    <row r="10" spans="2:9" ht="12" hidden="1" customHeight="1">
      <c r="B10" s="274">
        <v>2</v>
      </c>
      <c r="C10" s="262" t="s">
        <v>306</v>
      </c>
      <c r="D10" s="173">
        <v>97.9</v>
      </c>
      <c r="E10" s="174">
        <v>50540</v>
      </c>
      <c r="F10" s="174">
        <f>'元データ表（積立金・補填金の差額）'!R11</f>
        <v>506</v>
      </c>
      <c r="G10" s="174">
        <f t="shared" ref="G10:G73" si="0">E10+F10</f>
        <v>51046</v>
      </c>
      <c r="H10" s="175">
        <f t="shared" ref="H10:H73" si="1">F10/E10*100</f>
        <v>1.0011871784724971</v>
      </c>
      <c r="I10" s="176">
        <f t="shared" ref="I10:I73" si="2">D10+H10</f>
        <v>98.901187178472497</v>
      </c>
    </row>
    <row r="11" spans="2:9" ht="12" hidden="1" customHeight="1">
      <c r="B11" s="274">
        <v>3</v>
      </c>
      <c r="C11" s="262" t="s">
        <v>168</v>
      </c>
      <c r="D11" s="173">
        <v>97.8</v>
      </c>
      <c r="E11" s="174">
        <v>50370</v>
      </c>
      <c r="F11" s="174">
        <f>'元データ表（積立金・補填金の差額）'!R12</f>
        <v>506</v>
      </c>
      <c r="G11" s="174">
        <f t="shared" si="0"/>
        <v>50876</v>
      </c>
      <c r="H11" s="175">
        <f t="shared" si="1"/>
        <v>1.004566210045662</v>
      </c>
      <c r="I11" s="176">
        <f t="shared" si="2"/>
        <v>98.804566210045664</v>
      </c>
    </row>
    <row r="12" spans="2:9" ht="12" hidden="1" customHeight="1">
      <c r="B12" s="274">
        <v>4</v>
      </c>
      <c r="C12" s="262" t="s">
        <v>169</v>
      </c>
      <c r="D12" s="173">
        <v>99.7</v>
      </c>
      <c r="E12" s="174">
        <v>51450</v>
      </c>
      <c r="F12" s="174">
        <f>'元データ表（積立金・補填金の差額）'!R13</f>
        <v>506</v>
      </c>
      <c r="G12" s="174">
        <f t="shared" si="0"/>
        <v>51956</v>
      </c>
      <c r="H12" s="175">
        <f t="shared" si="1"/>
        <v>0.98347910592808552</v>
      </c>
      <c r="I12" s="176">
        <f t="shared" si="2"/>
        <v>100.68347910592809</v>
      </c>
    </row>
    <row r="13" spans="2:9" ht="12" hidden="1" customHeight="1">
      <c r="B13" s="274">
        <v>5</v>
      </c>
      <c r="C13" s="262" t="s">
        <v>160</v>
      </c>
      <c r="D13" s="173">
        <v>99.8</v>
      </c>
      <c r="E13" s="174">
        <v>51430</v>
      </c>
      <c r="F13" s="174">
        <f>'元データ表（積立金・補填金の差額）'!R14</f>
        <v>506</v>
      </c>
      <c r="G13" s="174">
        <f t="shared" si="0"/>
        <v>51936</v>
      </c>
      <c r="H13" s="175">
        <f t="shared" si="1"/>
        <v>0.98386155940112774</v>
      </c>
      <c r="I13" s="176">
        <f t="shared" si="2"/>
        <v>100.78386155940113</v>
      </c>
    </row>
    <row r="14" spans="2:9" ht="12" hidden="1" customHeight="1">
      <c r="B14" s="274">
        <v>6</v>
      </c>
      <c r="C14" s="262" t="s">
        <v>161</v>
      </c>
      <c r="D14" s="173">
        <v>99.9</v>
      </c>
      <c r="E14" s="174">
        <v>51550</v>
      </c>
      <c r="F14" s="174">
        <f>'元データ表（積立金・補填金の差額）'!R15</f>
        <v>506</v>
      </c>
      <c r="G14" s="174">
        <f t="shared" si="0"/>
        <v>52056</v>
      </c>
      <c r="H14" s="175">
        <f t="shared" si="1"/>
        <v>0.98157129000969923</v>
      </c>
      <c r="I14" s="176">
        <f t="shared" si="2"/>
        <v>100.8815712900097</v>
      </c>
    </row>
    <row r="15" spans="2:9" ht="12" hidden="1" customHeight="1">
      <c r="B15" s="274">
        <v>7</v>
      </c>
      <c r="C15" s="262" t="s">
        <v>162</v>
      </c>
      <c r="D15" s="173">
        <v>101.4</v>
      </c>
      <c r="E15" s="174">
        <v>52480</v>
      </c>
      <c r="F15" s="174">
        <f>'元データ表（積立金・補填金の差額）'!R16</f>
        <v>506</v>
      </c>
      <c r="G15" s="174">
        <f t="shared" si="0"/>
        <v>52986</v>
      </c>
      <c r="H15" s="175">
        <f t="shared" si="1"/>
        <v>0.96417682926829262</v>
      </c>
      <c r="I15" s="176">
        <f t="shared" si="2"/>
        <v>102.3641768292683</v>
      </c>
    </row>
    <row r="16" spans="2:9" ht="12" hidden="1" customHeight="1">
      <c r="B16" s="274">
        <v>8</v>
      </c>
      <c r="C16" s="262" t="s">
        <v>163</v>
      </c>
      <c r="D16" s="173">
        <v>101.7</v>
      </c>
      <c r="E16" s="174">
        <v>52470</v>
      </c>
      <c r="F16" s="174">
        <f>'元データ表（積立金・補填金の差額）'!R17</f>
        <v>506</v>
      </c>
      <c r="G16" s="174">
        <f t="shared" si="0"/>
        <v>52976</v>
      </c>
      <c r="H16" s="175">
        <f t="shared" si="1"/>
        <v>0.96436058700209648</v>
      </c>
      <c r="I16" s="176">
        <f t="shared" si="2"/>
        <v>102.66436058700209</v>
      </c>
    </row>
    <row r="17" spans="2:9" ht="12" hidden="1" customHeight="1">
      <c r="B17" s="274">
        <v>9</v>
      </c>
      <c r="C17" s="262" t="s">
        <v>164</v>
      </c>
      <c r="D17" s="173">
        <v>101.7</v>
      </c>
      <c r="E17" s="174">
        <v>52590</v>
      </c>
      <c r="F17" s="174">
        <f>'元データ表（積立金・補填金の差額）'!R18</f>
        <v>506</v>
      </c>
      <c r="G17" s="174">
        <f t="shared" si="0"/>
        <v>53096</v>
      </c>
      <c r="H17" s="175">
        <f t="shared" si="1"/>
        <v>0.96216010648412253</v>
      </c>
      <c r="I17" s="176">
        <f t="shared" si="2"/>
        <v>102.66216010648412</v>
      </c>
    </row>
    <row r="18" spans="2:9" ht="12" hidden="1" customHeight="1">
      <c r="B18" s="274">
        <v>10</v>
      </c>
      <c r="C18" s="262" t="s">
        <v>165</v>
      </c>
      <c r="D18" s="173">
        <v>100.6</v>
      </c>
      <c r="E18" s="174">
        <v>52110</v>
      </c>
      <c r="F18" s="174">
        <f>'元データ表（積立金・補填金の差額）'!R19</f>
        <v>506</v>
      </c>
      <c r="G18" s="174">
        <f t="shared" si="0"/>
        <v>52616</v>
      </c>
      <c r="H18" s="175">
        <f t="shared" si="1"/>
        <v>0.97102283630781039</v>
      </c>
      <c r="I18" s="176">
        <f t="shared" si="2"/>
        <v>101.5710228363078</v>
      </c>
    </row>
    <row r="19" spans="2:9" ht="12" hidden="1" customHeight="1">
      <c r="B19" s="274">
        <v>11</v>
      </c>
      <c r="C19" s="262" t="s">
        <v>166</v>
      </c>
      <c r="D19" s="173">
        <v>100.6</v>
      </c>
      <c r="E19" s="174">
        <v>51990</v>
      </c>
      <c r="F19" s="174">
        <f>'元データ表（積立金・補填金の差額）'!R20</f>
        <v>506</v>
      </c>
      <c r="G19" s="174">
        <f t="shared" si="0"/>
        <v>52496</v>
      </c>
      <c r="H19" s="175">
        <f t="shared" si="1"/>
        <v>0.97326408924793217</v>
      </c>
      <c r="I19" s="176">
        <f t="shared" si="2"/>
        <v>101.57326408924793</v>
      </c>
    </row>
    <row r="20" spans="2:9" ht="12" hidden="1" customHeight="1">
      <c r="B20" s="274">
        <v>12</v>
      </c>
      <c r="C20" s="262" t="s">
        <v>167</v>
      </c>
      <c r="D20" s="180">
        <v>100.6</v>
      </c>
      <c r="E20" s="181">
        <v>51980</v>
      </c>
      <c r="F20" s="181">
        <f>'元データ表（積立金・補填金の差額）'!R21</f>
        <v>506</v>
      </c>
      <c r="G20" s="181">
        <f t="shared" si="0"/>
        <v>52486</v>
      </c>
      <c r="H20" s="182">
        <f t="shared" si="1"/>
        <v>0.97345132743362828</v>
      </c>
      <c r="I20" s="183">
        <f t="shared" si="2"/>
        <v>101.57345132743362</v>
      </c>
    </row>
    <row r="21" spans="2:9" ht="12" hidden="1" customHeight="1">
      <c r="B21" s="275">
        <v>38718</v>
      </c>
      <c r="C21" s="264" t="s">
        <v>307</v>
      </c>
      <c r="D21" s="173">
        <v>102.6</v>
      </c>
      <c r="E21" s="174">
        <v>52580</v>
      </c>
      <c r="F21" s="174">
        <f>'元データ表（積立金・補填金の差額）'!R22</f>
        <v>-844</v>
      </c>
      <c r="G21" s="174">
        <f t="shared" si="0"/>
        <v>51736</v>
      </c>
      <c r="H21" s="175">
        <f t="shared" si="1"/>
        <v>-1.605173069608216</v>
      </c>
      <c r="I21" s="176">
        <f t="shared" si="2"/>
        <v>100.99482693039178</v>
      </c>
    </row>
    <row r="22" spans="2:9" ht="12" hidden="1" customHeight="1">
      <c r="B22" s="274">
        <v>2</v>
      </c>
      <c r="C22" s="262" t="s">
        <v>306</v>
      </c>
      <c r="D22" s="173">
        <v>102.6</v>
      </c>
      <c r="E22" s="174">
        <v>52590</v>
      </c>
      <c r="F22" s="174">
        <f>'元データ表（積立金・補填金の差額）'!R23</f>
        <v>-844</v>
      </c>
      <c r="G22" s="174">
        <f t="shared" si="0"/>
        <v>51746</v>
      </c>
      <c r="H22" s="175">
        <f t="shared" si="1"/>
        <v>-1.6048678455980225</v>
      </c>
      <c r="I22" s="176">
        <f t="shared" si="2"/>
        <v>100.99513215440197</v>
      </c>
    </row>
    <row r="23" spans="2:9" ht="12" hidden="1" customHeight="1">
      <c r="B23" s="274">
        <v>3</v>
      </c>
      <c r="C23" s="262" t="s">
        <v>168</v>
      </c>
      <c r="D23" s="173">
        <v>102.6</v>
      </c>
      <c r="E23" s="174">
        <v>52560</v>
      </c>
      <c r="F23" s="174">
        <f>'元データ表（積立金・補填金の差額）'!R24</f>
        <v>-844</v>
      </c>
      <c r="G23" s="174">
        <f t="shared" si="0"/>
        <v>51716</v>
      </c>
      <c r="H23" s="175">
        <f t="shared" si="1"/>
        <v>-1.6057838660578385</v>
      </c>
      <c r="I23" s="176">
        <f t="shared" si="2"/>
        <v>100.99421613394216</v>
      </c>
    </row>
    <row r="24" spans="2:9" ht="12" hidden="1" customHeight="1">
      <c r="B24" s="274">
        <v>4</v>
      </c>
      <c r="C24" s="262" t="s">
        <v>169</v>
      </c>
      <c r="D24" s="173">
        <v>102.4</v>
      </c>
      <c r="E24" s="174">
        <v>52460</v>
      </c>
      <c r="F24" s="174">
        <f>'元データ表（積立金・補填金の差額）'!R25</f>
        <v>-194</v>
      </c>
      <c r="G24" s="174">
        <f t="shared" si="0"/>
        <v>52266</v>
      </c>
      <c r="H24" s="175">
        <f t="shared" si="1"/>
        <v>-0.36980556614563476</v>
      </c>
      <c r="I24" s="176">
        <f t="shared" si="2"/>
        <v>102.03019443385438</v>
      </c>
    </row>
    <row r="25" spans="2:9" ht="12" hidden="1" customHeight="1">
      <c r="B25" s="274">
        <v>5</v>
      </c>
      <c r="C25" s="262" t="s">
        <v>160</v>
      </c>
      <c r="D25" s="173">
        <v>102.4</v>
      </c>
      <c r="E25" s="174">
        <v>52450</v>
      </c>
      <c r="F25" s="174">
        <f>'元データ表（積立金・補填金の差額）'!R26</f>
        <v>-194</v>
      </c>
      <c r="G25" s="174">
        <f t="shared" si="0"/>
        <v>52256</v>
      </c>
      <c r="H25" s="175">
        <f t="shared" si="1"/>
        <v>-0.36987607244995235</v>
      </c>
      <c r="I25" s="176">
        <f t="shared" si="2"/>
        <v>102.03012392755005</v>
      </c>
    </row>
    <row r="26" spans="2:9" ht="12" hidden="1" customHeight="1">
      <c r="B26" s="274">
        <v>6</v>
      </c>
      <c r="C26" s="262" t="s">
        <v>161</v>
      </c>
      <c r="D26" s="173">
        <v>102.4</v>
      </c>
      <c r="E26" s="174">
        <v>52470</v>
      </c>
      <c r="F26" s="174">
        <f>'元データ表（積立金・補填金の差額）'!R27</f>
        <v>-194</v>
      </c>
      <c r="G26" s="174">
        <f t="shared" si="0"/>
        <v>52276</v>
      </c>
      <c r="H26" s="175">
        <f t="shared" si="1"/>
        <v>-0.3697350867162188</v>
      </c>
      <c r="I26" s="176">
        <f t="shared" si="2"/>
        <v>102.03026491328379</v>
      </c>
    </row>
    <row r="27" spans="2:9" ht="12" hidden="1" customHeight="1">
      <c r="B27" s="274">
        <v>7</v>
      </c>
      <c r="C27" s="262" t="s">
        <v>162</v>
      </c>
      <c r="D27" s="173">
        <v>101.7</v>
      </c>
      <c r="E27" s="174">
        <v>51900</v>
      </c>
      <c r="F27" s="174">
        <f>'元データ表（積立金・補填金の差額）'!R28</f>
        <v>506</v>
      </c>
      <c r="G27" s="174">
        <f t="shared" si="0"/>
        <v>52406</v>
      </c>
      <c r="H27" s="175">
        <f t="shared" si="1"/>
        <v>0.97495183044315981</v>
      </c>
      <c r="I27" s="176">
        <f t="shared" si="2"/>
        <v>102.67495183044316</v>
      </c>
    </row>
    <row r="28" spans="2:9" ht="12" hidden="1" customHeight="1">
      <c r="B28" s="274">
        <v>8</v>
      </c>
      <c r="C28" s="262" t="s">
        <v>163</v>
      </c>
      <c r="D28" s="173">
        <v>101.7</v>
      </c>
      <c r="E28" s="174">
        <v>51870</v>
      </c>
      <c r="F28" s="174">
        <f>'元データ表（積立金・補填金の差額）'!R29</f>
        <v>506</v>
      </c>
      <c r="G28" s="174">
        <f t="shared" si="0"/>
        <v>52376</v>
      </c>
      <c r="H28" s="175">
        <f t="shared" si="1"/>
        <v>0.97551571235781753</v>
      </c>
      <c r="I28" s="176">
        <f t="shared" si="2"/>
        <v>102.67551571235782</v>
      </c>
    </row>
    <row r="29" spans="2:9" ht="12" hidden="1" customHeight="1">
      <c r="B29" s="274">
        <v>9</v>
      </c>
      <c r="C29" s="262" t="s">
        <v>164</v>
      </c>
      <c r="D29" s="173">
        <v>101.7</v>
      </c>
      <c r="E29" s="174">
        <v>51880</v>
      </c>
      <c r="F29" s="174">
        <f>'元データ表（積立金・補填金の差額）'!R30</f>
        <v>506</v>
      </c>
      <c r="G29" s="174">
        <f t="shared" si="0"/>
        <v>52386</v>
      </c>
      <c r="H29" s="175">
        <f t="shared" si="1"/>
        <v>0.97532767925983033</v>
      </c>
      <c r="I29" s="176">
        <f t="shared" si="2"/>
        <v>102.67532767925984</v>
      </c>
    </row>
    <row r="30" spans="2:9" ht="12" hidden="1" customHeight="1">
      <c r="B30" s="274">
        <v>10</v>
      </c>
      <c r="C30" s="262" t="s">
        <v>165</v>
      </c>
      <c r="D30" s="173">
        <v>104.5</v>
      </c>
      <c r="E30" s="174">
        <v>53380</v>
      </c>
      <c r="F30" s="174">
        <f>'元データ表（積立金・補填金の差額）'!R31</f>
        <v>-1094.0000000000002</v>
      </c>
      <c r="G30" s="174">
        <f t="shared" si="0"/>
        <v>52286</v>
      </c>
      <c r="H30" s="175">
        <f t="shared" si="1"/>
        <v>-2.0494567253653058</v>
      </c>
      <c r="I30" s="176">
        <f t="shared" si="2"/>
        <v>102.4505432746347</v>
      </c>
    </row>
    <row r="31" spans="2:9" ht="12" hidden="1" customHeight="1">
      <c r="B31" s="274">
        <v>11</v>
      </c>
      <c r="C31" s="262" t="s">
        <v>166</v>
      </c>
      <c r="D31" s="173">
        <v>104.7</v>
      </c>
      <c r="E31" s="174">
        <v>53400</v>
      </c>
      <c r="F31" s="174">
        <f>'元データ表（積立金・補填金の差額）'!R32</f>
        <v>-1094.0000000000002</v>
      </c>
      <c r="G31" s="174">
        <f t="shared" si="0"/>
        <v>52306</v>
      </c>
      <c r="H31" s="175">
        <f t="shared" si="1"/>
        <v>-2.0486891385767794</v>
      </c>
      <c r="I31" s="176">
        <f t="shared" si="2"/>
        <v>102.65131086142323</v>
      </c>
    </row>
    <row r="32" spans="2:9" ht="12" hidden="1" customHeight="1">
      <c r="B32" s="276">
        <v>12</v>
      </c>
      <c r="C32" s="263" t="s">
        <v>167</v>
      </c>
      <c r="D32" s="173">
        <v>104.7</v>
      </c>
      <c r="E32" s="174">
        <v>53430</v>
      </c>
      <c r="F32" s="174">
        <f>'元データ表（積立金・補填金の差額）'!R33</f>
        <v>-1094.0000000000002</v>
      </c>
      <c r="G32" s="174">
        <f t="shared" si="0"/>
        <v>52336</v>
      </c>
      <c r="H32" s="175">
        <f t="shared" si="1"/>
        <v>-2.0475388358600042</v>
      </c>
      <c r="I32" s="176">
        <f t="shared" si="2"/>
        <v>102.65246116413999</v>
      </c>
    </row>
    <row r="33" spans="2:9" ht="12" hidden="1" customHeight="1">
      <c r="B33" s="277">
        <v>39083</v>
      </c>
      <c r="C33" s="262" t="s">
        <v>308</v>
      </c>
      <c r="D33" s="370">
        <v>95.408163265306129</v>
      </c>
      <c r="E33" s="371">
        <v>58380</v>
      </c>
      <c r="F33" s="177">
        <f>'元データ表（積立金・補填金の差額）'!R34</f>
        <v>-5994</v>
      </c>
      <c r="G33" s="177">
        <f t="shared" si="0"/>
        <v>52386</v>
      </c>
      <c r="H33" s="178">
        <f t="shared" si="1"/>
        <v>-10.267214799588901</v>
      </c>
      <c r="I33" s="179">
        <f t="shared" si="2"/>
        <v>85.14094846571723</v>
      </c>
    </row>
    <row r="34" spans="2:9" ht="12" hidden="1" customHeight="1">
      <c r="B34" s="274">
        <v>2</v>
      </c>
      <c r="C34" s="262" t="s">
        <v>306</v>
      </c>
      <c r="D34" s="372">
        <v>95.748299319727892</v>
      </c>
      <c r="E34" s="373">
        <v>58420</v>
      </c>
      <c r="F34" s="174">
        <f>'元データ表（積立金・補填金の差額）'!R35</f>
        <v>-5994</v>
      </c>
      <c r="G34" s="174">
        <f t="shared" si="0"/>
        <v>52426</v>
      </c>
      <c r="H34" s="175">
        <f t="shared" si="1"/>
        <v>-10.260184868195823</v>
      </c>
      <c r="I34" s="176">
        <f t="shared" si="2"/>
        <v>85.48811445153207</v>
      </c>
    </row>
    <row r="35" spans="2:9" ht="12" hidden="1" customHeight="1">
      <c r="B35" s="274">
        <v>3</v>
      </c>
      <c r="C35" s="262" t="s">
        <v>168</v>
      </c>
      <c r="D35" s="372">
        <v>95.833333333333343</v>
      </c>
      <c r="E35" s="373">
        <v>58450</v>
      </c>
      <c r="F35" s="174">
        <f>'元データ表（積立金・補填金の差額）'!R36</f>
        <v>-5994</v>
      </c>
      <c r="G35" s="174">
        <f t="shared" si="0"/>
        <v>52456</v>
      </c>
      <c r="H35" s="175">
        <f t="shared" si="1"/>
        <v>-10.25491873396065</v>
      </c>
      <c r="I35" s="176">
        <f t="shared" si="2"/>
        <v>85.578414599372692</v>
      </c>
    </row>
    <row r="36" spans="2:9" ht="12" hidden="1" customHeight="1">
      <c r="B36" s="274">
        <v>4</v>
      </c>
      <c r="C36" s="262" t="s">
        <v>169</v>
      </c>
      <c r="D36" s="372">
        <v>100.68027210884355</v>
      </c>
      <c r="E36" s="373">
        <v>61400</v>
      </c>
      <c r="F36" s="174">
        <f>'元データ表（積立金・補填金の差額）'!R37</f>
        <v>-7694</v>
      </c>
      <c r="G36" s="174">
        <f t="shared" si="0"/>
        <v>53706</v>
      </c>
      <c r="H36" s="175">
        <f t="shared" si="1"/>
        <v>-12.530944625407168</v>
      </c>
      <c r="I36" s="176">
        <f t="shared" si="2"/>
        <v>88.14932748343638</v>
      </c>
    </row>
    <row r="37" spans="2:9" ht="12" hidden="1" customHeight="1">
      <c r="B37" s="274">
        <v>5</v>
      </c>
      <c r="C37" s="262" t="s">
        <v>160</v>
      </c>
      <c r="D37" s="372">
        <v>101.36054421768708</v>
      </c>
      <c r="E37" s="373">
        <v>61670</v>
      </c>
      <c r="F37" s="174">
        <f>'元データ表（積立金・補填金の差額）'!R38</f>
        <v>-7694</v>
      </c>
      <c r="G37" s="174">
        <f t="shared" si="0"/>
        <v>53976</v>
      </c>
      <c r="H37" s="175">
        <f t="shared" si="1"/>
        <v>-12.476082373925735</v>
      </c>
      <c r="I37" s="176">
        <f t="shared" si="2"/>
        <v>88.884461843761343</v>
      </c>
    </row>
    <row r="38" spans="2:9" ht="12" hidden="1" customHeight="1">
      <c r="B38" s="274">
        <v>6</v>
      </c>
      <c r="C38" s="262" t="s">
        <v>161</v>
      </c>
      <c r="D38" s="372">
        <v>101.44557823129252</v>
      </c>
      <c r="E38" s="373">
        <v>61670</v>
      </c>
      <c r="F38" s="174">
        <f>'元データ表（積立金・補填金の差額）'!R39</f>
        <v>-7694</v>
      </c>
      <c r="G38" s="174">
        <f t="shared" si="0"/>
        <v>53976</v>
      </c>
      <c r="H38" s="175">
        <f t="shared" si="1"/>
        <v>-12.476082373925735</v>
      </c>
      <c r="I38" s="176">
        <f t="shared" si="2"/>
        <v>88.96949585736678</v>
      </c>
    </row>
    <row r="39" spans="2:9" ht="12" hidden="1" customHeight="1">
      <c r="B39" s="274">
        <v>7</v>
      </c>
      <c r="C39" s="262" t="s">
        <v>162</v>
      </c>
      <c r="D39" s="372">
        <v>103.57142857142857</v>
      </c>
      <c r="E39" s="373">
        <v>63150</v>
      </c>
      <c r="F39" s="174">
        <f>'元データ表（積立金・補填金の差額）'!R40</f>
        <v>-7144</v>
      </c>
      <c r="G39" s="174">
        <f t="shared" si="0"/>
        <v>56006</v>
      </c>
      <c r="H39" s="175">
        <f t="shared" si="1"/>
        <v>-11.312747426761678</v>
      </c>
      <c r="I39" s="176">
        <f t="shared" si="2"/>
        <v>92.258681144666895</v>
      </c>
    </row>
    <row r="40" spans="2:9" ht="12" hidden="1" customHeight="1">
      <c r="B40" s="274">
        <v>8</v>
      </c>
      <c r="C40" s="262" t="s">
        <v>163</v>
      </c>
      <c r="D40" s="372">
        <v>103.57142857142857</v>
      </c>
      <c r="E40" s="373">
        <v>62930</v>
      </c>
      <c r="F40" s="174">
        <f>'元データ表（積立金・補填金の差額）'!R41</f>
        <v>-7144</v>
      </c>
      <c r="G40" s="174">
        <f t="shared" si="0"/>
        <v>55786</v>
      </c>
      <c r="H40" s="175">
        <f t="shared" si="1"/>
        <v>-11.352296202129351</v>
      </c>
      <c r="I40" s="176">
        <f t="shared" si="2"/>
        <v>92.219132369299217</v>
      </c>
    </row>
    <row r="41" spans="2:9" ht="12" hidden="1" customHeight="1">
      <c r="B41" s="274">
        <v>9</v>
      </c>
      <c r="C41" s="262" t="s">
        <v>164</v>
      </c>
      <c r="D41" s="372">
        <v>103.48639455782313</v>
      </c>
      <c r="E41" s="373">
        <v>62930</v>
      </c>
      <c r="F41" s="174">
        <f>'元データ表（積立金・補填金の差額）'!R42</f>
        <v>-7144</v>
      </c>
      <c r="G41" s="174">
        <f t="shared" si="0"/>
        <v>55786</v>
      </c>
      <c r="H41" s="175">
        <f t="shared" si="1"/>
        <v>-11.352296202129351</v>
      </c>
      <c r="I41" s="176">
        <f t="shared" si="2"/>
        <v>92.13409835569378</v>
      </c>
    </row>
    <row r="42" spans="2:9" ht="12" hidden="1" customHeight="1">
      <c r="B42" s="274">
        <v>10</v>
      </c>
      <c r="C42" s="262" t="s">
        <v>165</v>
      </c>
      <c r="D42" s="372">
        <v>102.80612244897961</v>
      </c>
      <c r="E42" s="373">
        <v>62500</v>
      </c>
      <c r="F42" s="174">
        <f>'元データ表（積立金・補填金の差額）'!R43</f>
        <v>-5044</v>
      </c>
      <c r="G42" s="174">
        <f t="shared" si="0"/>
        <v>57456</v>
      </c>
      <c r="H42" s="175">
        <f t="shared" si="1"/>
        <v>-8.0703999999999994</v>
      </c>
      <c r="I42" s="176">
        <f t="shared" si="2"/>
        <v>94.735722448979601</v>
      </c>
    </row>
    <row r="43" spans="2:9" ht="12" hidden="1" customHeight="1">
      <c r="B43" s="274">
        <v>11</v>
      </c>
      <c r="C43" s="262" t="s">
        <v>166</v>
      </c>
      <c r="D43" s="372">
        <v>102.89115646258504</v>
      </c>
      <c r="E43" s="373">
        <v>62500</v>
      </c>
      <c r="F43" s="174">
        <f>'元データ表（積立金・補填金の差額）'!R44</f>
        <v>-5044</v>
      </c>
      <c r="G43" s="174">
        <f t="shared" si="0"/>
        <v>57456</v>
      </c>
      <c r="H43" s="175">
        <f t="shared" si="1"/>
        <v>-8.0703999999999994</v>
      </c>
      <c r="I43" s="176">
        <f t="shared" si="2"/>
        <v>94.820756462585052</v>
      </c>
    </row>
    <row r="44" spans="2:9" ht="12" hidden="1" customHeight="1">
      <c r="B44" s="274">
        <v>12</v>
      </c>
      <c r="C44" s="262" t="s">
        <v>167</v>
      </c>
      <c r="D44" s="374">
        <v>102.89115646258504</v>
      </c>
      <c r="E44" s="375">
        <v>62500</v>
      </c>
      <c r="F44" s="181">
        <f>'元データ表（積立金・補填金の差額）'!R45</f>
        <v>-5044</v>
      </c>
      <c r="G44" s="181">
        <f t="shared" si="0"/>
        <v>57456</v>
      </c>
      <c r="H44" s="182">
        <f t="shared" si="1"/>
        <v>-8.0703999999999994</v>
      </c>
      <c r="I44" s="183">
        <f t="shared" si="2"/>
        <v>94.820756462585052</v>
      </c>
    </row>
    <row r="45" spans="2:9" ht="12" hidden="1" customHeight="1">
      <c r="B45" s="275">
        <v>39448</v>
      </c>
      <c r="C45" s="264" t="s">
        <v>309</v>
      </c>
      <c r="D45" s="372">
        <v>107.31292517006804</v>
      </c>
      <c r="E45" s="373">
        <v>64900</v>
      </c>
      <c r="F45" s="174">
        <f>'元データ表（積立金・補填金の差額）'!R46</f>
        <v>-7294</v>
      </c>
      <c r="G45" s="174">
        <f t="shared" si="0"/>
        <v>57606</v>
      </c>
      <c r="H45" s="175">
        <f t="shared" si="1"/>
        <v>-11.238828967642526</v>
      </c>
      <c r="I45" s="176">
        <f t="shared" si="2"/>
        <v>96.074096202425523</v>
      </c>
    </row>
    <row r="46" spans="2:9" ht="12" hidden="1" customHeight="1">
      <c r="B46" s="274">
        <v>2</v>
      </c>
      <c r="C46" s="262" t="s">
        <v>306</v>
      </c>
      <c r="D46" s="372">
        <v>108.078231292517</v>
      </c>
      <c r="E46" s="373">
        <v>65340</v>
      </c>
      <c r="F46" s="174">
        <f>'元データ表（積立金・補填金の差額）'!R47</f>
        <v>-7294</v>
      </c>
      <c r="G46" s="174">
        <f t="shared" si="0"/>
        <v>58046</v>
      </c>
      <c r="H46" s="175">
        <f t="shared" si="1"/>
        <v>-11.163146617692073</v>
      </c>
      <c r="I46" s="176">
        <f t="shared" si="2"/>
        <v>96.915084674824925</v>
      </c>
    </row>
    <row r="47" spans="2:9" ht="12" hidden="1" customHeight="1">
      <c r="B47" s="274">
        <v>3</v>
      </c>
      <c r="C47" s="262" t="s">
        <v>168</v>
      </c>
      <c r="D47" s="372">
        <v>108.078231292517</v>
      </c>
      <c r="E47" s="373">
        <v>65350</v>
      </c>
      <c r="F47" s="174">
        <f>'元データ表（積立金・補填金の差額）'!R48</f>
        <v>-7294</v>
      </c>
      <c r="G47" s="174">
        <f t="shared" si="0"/>
        <v>58056</v>
      </c>
      <c r="H47" s="175">
        <f t="shared" si="1"/>
        <v>-11.161438408569243</v>
      </c>
      <c r="I47" s="176">
        <f t="shared" si="2"/>
        <v>96.916792883947764</v>
      </c>
    </row>
    <row r="48" spans="2:9" ht="12" hidden="1" customHeight="1">
      <c r="B48" s="274">
        <v>4</v>
      </c>
      <c r="C48" s="262" t="s">
        <v>169</v>
      </c>
      <c r="D48" s="372">
        <v>115.4761904761905</v>
      </c>
      <c r="E48" s="373">
        <v>69830</v>
      </c>
      <c r="F48" s="174">
        <f>'元データ表（積立金・補填金の差額）'!R49</f>
        <v>-9994.0000000000018</v>
      </c>
      <c r="G48" s="174">
        <f t="shared" si="0"/>
        <v>59836</v>
      </c>
      <c r="H48" s="175">
        <f t="shared" si="1"/>
        <v>-14.311900329371333</v>
      </c>
      <c r="I48" s="176">
        <f t="shared" si="2"/>
        <v>101.16429014681916</v>
      </c>
    </row>
    <row r="49" spans="2:9" ht="12" hidden="1" customHeight="1">
      <c r="B49" s="274">
        <v>5</v>
      </c>
      <c r="C49" s="262" t="s">
        <v>160</v>
      </c>
      <c r="D49" s="372">
        <v>115.64625850340137</v>
      </c>
      <c r="E49" s="373">
        <v>69910</v>
      </c>
      <c r="F49" s="174">
        <f>'元データ表（積立金・補填金の差額）'!R50</f>
        <v>-9994.0000000000018</v>
      </c>
      <c r="G49" s="174">
        <f t="shared" si="0"/>
        <v>59916</v>
      </c>
      <c r="H49" s="175">
        <f t="shared" si="1"/>
        <v>-14.295522815047921</v>
      </c>
      <c r="I49" s="176">
        <f t="shared" si="2"/>
        <v>101.35073568835345</v>
      </c>
    </row>
    <row r="50" spans="2:9" ht="12" hidden="1" customHeight="1">
      <c r="B50" s="274">
        <v>6</v>
      </c>
      <c r="C50" s="262" t="s">
        <v>161</v>
      </c>
      <c r="D50" s="372">
        <v>115.64625850340137</v>
      </c>
      <c r="E50" s="373">
        <v>69930</v>
      </c>
      <c r="F50" s="174">
        <f>'元データ表（積立金・補填金の差額）'!R51</f>
        <v>-9994.0000000000018</v>
      </c>
      <c r="G50" s="174">
        <f t="shared" si="0"/>
        <v>59936</v>
      </c>
      <c r="H50" s="175">
        <f t="shared" si="1"/>
        <v>-14.291434291434294</v>
      </c>
      <c r="I50" s="176">
        <f t="shared" si="2"/>
        <v>101.35482421196707</v>
      </c>
    </row>
    <row r="51" spans="2:9" ht="12" hidden="1" customHeight="1">
      <c r="B51" s="274">
        <v>7</v>
      </c>
      <c r="C51" s="262" t="s">
        <v>162</v>
      </c>
      <c r="D51" s="372">
        <v>118.28231292517007</v>
      </c>
      <c r="E51" s="373">
        <v>71500</v>
      </c>
      <c r="F51" s="174">
        <f>'元データ表（積立金・補填金の差額）'!R52</f>
        <v>-6894.0000000000009</v>
      </c>
      <c r="G51" s="174">
        <f t="shared" si="0"/>
        <v>64606</v>
      </c>
      <c r="H51" s="175">
        <f t="shared" si="1"/>
        <v>-9.6419580419580431</v>
      </c>
      <c r="I51" s="176">
        <f t="shared" si="2"/>
        <v>108.64035488321203</v>
      </c>
    </row>
    <row r="52" spans="2:9" ht="12" hidden="1" customHeight="1">
      <c r="B52" s="274">
        <v>8</v>
      </c>
      <c r="C52" s="262" t="s">
        <v>163</v>
      </c>
      <c r="D52" s="372">
        <v>118.28231292517007</v>
      </c>
      <c r="E52" s="373">
        <v>71490</v>
      </c>
      <c r="F52" s="174">
        <f>'元データ表（積立金・補填金の差額）'!R53</f>
        <v>-6894.0000000000009</v>
      </c>
      <c r="G52" s="174">
        <f t="shared" si="0"/>
        <v>64596</v>
      </c>
      <c r="H52" s="175">
        <f t="shared" si="1"/>
        <v>-9.643306756189677</v>
      </c>
      <c r="I52" s="176">
        <f t="shared" si="2"/>
        <v>108.6390061689804</v>
      </c>
    </row>
    <row r="53" spans="2:9" ht="12" hidden="1" customHeight="1">
      <c r="B53" s="274">
        <v>9</v>
      </c>
      <c r="C53" s="262" t="s">
        <v>164</v>
      </c>
      <c r="D53" s="372">
        <v>118.45238095238096</v>
      </c>
      <c r="E53" s="373">
        <v>71610</v>
      </c>
      <c r="F53" s="174">
        <f>'元データ表（積立金・補填金の差額）'!R54</f>
        <v>-6894.0000000000009</v>
      </c>
      <c r="G53" s="174">
        <f t="shared" si="0"/>
        <v>64716</v>
      </c>
      <c r="H53" s="175">
        <f t="shared" si="1"/>
        <v>-9.6271470465018876</v>
      </c>
      <c r="I53" s="176">
        <f t="shared" si="2"/>
        <v>108.82523390587907</v>
      </c>
    </row>
    <row r="54" spans="2:9" ht="12" hidden="1" customHeight="1">
      <c r="B54" s="274">
        <v>10</v>
      </c>
      <c r="C54" s="262" t="s">
        <v>165</v>
      </c>
      <c r="D54" s="372">
        <v>122.19387755102041</v>
      </c>
      <c r="E54" s="373">
        <v>73880</v>
      </c>
      <c r="F54" s="174">
        <f>'元データ表（積立金・補填金の差額）'!R55</f>
        <v>-7144</v>
      </c>
      <c r="G54" s="174">
        <f t="shared" si="0"/>
        <v>66736</v>
      </c>
      <c r="H54" s="175">
        <f t="shared" si="1"/>
        <v>-9.6697347049269098</v>
      </c>
      <c r="I54" s="176">
        <f t="shared" si="2"/>
        <v>112.5241428460935</v>
      </c>
    </row>
    <row r="55" spans="2:9" ht="12" hidden="1" customHeight="1">
      <c r="B55" s="274">
        <v>11</v>
      </c>
      <c r="C55" s="262" t="s">
        <v>166</v>
      </c>
      <c r="D55" s="372">
        <v>122.36394557823131</v>
      </c>
      <c r="E55" s="373">
        <v>74010</v>
      </c>
      <c r="F55" s="174">
        <f>'元データ表（積立金・補填金の差額）'!R56</f>
        <v>-7144</v>
      </c>
      <c r="G55" s="174">
        <f t="shared" si="0"/>
        <v>66866</v>
      </c>
      <c r="H55" s="175">
        <f t="shared" si="1"/>
        <v>-9.652749628428591</v>
      </c>
      <c r="I55" s="176">
        <f t="shared" si="2"/>
        <v>112.71119594980271</v>
      </c>
    </row>
    <row r="56" spans="2:9" ht="12" hidden="1" customHeight="1">
      <c r="B56" s="276">
        <v>12</v>
      </c>
      <c r="C56" s="263" t="s">
        <v>167</v>
      </c>
      <c r="D56" s="372">
        <v>122.44897959183675</v>
      </c>
      <c r="E56" s="373">
        <v>74040</v>
      </c>
      <c r="F56" s="174">
        <f>'元データ表（積立金・補填金の差額）'!R57</f>
        <v>-7144</v>
      </c>
      <c r="G56" s="174">
        <f t="shared" si="0"/>
        <v>66896</v>
      </c>
      <c r="H56" s="175">
        <f t="shared" si="1"/>
        <v>-9.6488384656942188</v>
      </c>
      <c r="I56" s="176">
        <f t="shared" si="2"/>
        <v>112.80014112614253</v>
      </c>
    </row>
    <row r="57" spans="2:9" ht="12" hidden="1" customHeight="1">
      <c r="B57" s="277">
        <v>39814</v>
      </c>
      <c r="C57" s="262" t="s">
        <v>310</v>
      </c>
      <c r="D57" s="370">
        <v>106.37755102040816</v>
      </c>
      <c r="E57" s="371">
        <v>63940</v>
      </c>
      <c r="F57" s="177">
        <f>'元データ表（積立金・補填金の差額）'!R58</f>
        <v>506</v>
      </c>
      <c r="G57" s="177">
        <f t="shared" si="0"/>
        <v>64446</v>
      </c>
      <c r="H57" s="178">
        <f t="shared" si="1"/>
        <v>0.79136690647482011</v>
      </c>
      <c r="I57" s="179">
        <f t="shared" si="2"/>
        <v>107.16891792688298</v>
      </c>
    </row>
    <row r="58" spans="2:9" ht="12" hidden="1" customHeight="1">
      <c r="B58" s="274">
        <v>2</v>
      </c>
      <c r="C58" s="262" t="s">
        <v>306</v>
      </c>
      <c r="D58" s="372">
        <v>105.95238095238095</v>
      </c>
      <c r="E58" s="373">
        <v>63680</v>
      </c>
      <c r="F58" s="174">
        <f>'元データ表（積立金・補填金の差額）'!R59</f>
        <v>506</v>
      </c>
      <c r="G58" s="174">
        <f t="shared" si="0"/>
        <v>64186</v>
      </c>
      <c r="H58" s="175">
        <f t="shared" si="1"/>
        <v>0.79459798994974873</v>
      </c>
      <c r="I58" s="176">
        <f t="shared" si="2"/>
        <v>106.7469789423307</v>
      </c>
    </row>
    <row r="59" spans="2:9" ht="12" hidden="1" customHeight="1">
      <c r="B59" s="274">
        <v>3</v>
      </c>
      <c r="C59" s="262" t="s">
        <v>168</v>
      </c>
      <c r="D59" s="372">
        <v>105.78231292517007</v>
      </c>
      <c r="E59" s="373">
        <v>63610</v>
      </c>
      <c r="F59" s="174">
        <f>'元データ表（積立金・補填金の差額）'!R60</f>
        <v>506</v>
      </c>
      <c r="G59" s="174">
        <f t="shared" si="0"/>
        <v>64116</v>
      </c>
      <c r="H59" s="175">
        <f t="shared" si="1"/>
        <v>0.79547240999842794</v>
      </c>
      <c r="I59" s="176">
        <f t="shared" si="2"/>
        <v>106.5777853351685</v>
      </c>
    </row>
    <row r="60" spans="2:9" ht="12" hidden="1" customHeight="1">
      <c r="B60" s="274">
        <v>4</v>
      </c>
      <c r="C60" s="262" t="s">
        <v>169</v>
      </c>
      <c r="D60" s="372">
        <v>101.19047619047619</v>
      </c>
      <c r="E60" s="373">
        <v>60820</v>
      </c>
      <c r="F60" s="174">
        <f>'元データ表（積立金・補填金の差額）'!R61</f>
        <v>506</v>
      </c>
      <c r="G60" s="174">
        <f t="shared" si="0"/>
        <v>61326</v>
      </c>
      <c r="H60" s="175">
        <f t="shared" si="1"/>
        <v>0.83196317000986519</v>
      </c>
      <c r="I60" s="176">
        <f t="shared" si="2"/>
        <v>102.02243936048606</v>
      </c>
    </row>
    <row r="61" spans="2:9" ht="12" hidden="1" customHeight="1">
      <c r="B61" s="274">
        <v>5</v>
      </c>
      <c r="C61" s="262" t="s">
        <v>160</v>
      </c>
      <c r="D61" s="372">
        <v>100.93537414965988</v>
      </c>
      <c r="E61" s="373">
        <v>60650</v>
      </c>
      <c r="F61" s="174">
        <f>'元データ表（積立金・補填金の差額）'!R62</f>
        <v>506</v>
      </c>
      <c r="G61" s="174">
        <f t="shared" si="0"/>
        <v>61156</v>
      </c>
      <c r="H61" s="175">
        <f t="shared" si="1"/>
        <v>0.83429513602638095</v>
      </c>
      <c r="I61" s="176">
        <f t="shared" si="2"/>
        <v>101.76966928568626</v>
      </c>
    </row>
    <row r="62" spans="2:9" ht="12" hidden="1" customHeight="1">
      <c r="B62" s="274">
        <v>6</v>
      </c>
      <c r="C62" s="262" t="s">
        <v>161</v>
      </c>
      <c r="D62" s="372">
        <v>100.93537414965988</v>
      </c>
      <c r="E62" s="373">
        <v>60680</v>
      </c>
      <c r="F62" s="174">
        <f>'元データ表（積立金・補填金の差額）'!R63</f>
        <v>506</v>
      </c>
      <c r="G62" s="174">
        <f t="shared" si="0"/>
        <v>61186</v>
      </c>
      <c r="H62" s="175">
        <f t="shared" si="1"/>
        <v>0.83388266315095583</v>
      </c>
      <c r="I62" s="176">
        <f t="shared" si="2"/>
        <v>101.76925681281084</v>
      </c>
    </row>
    <row r="63" spans="2:9" ht="12" hidden="1" customHeight="1">
      <c r="B63" s="274">
        <v>7</v>
      </c>
      <c r="C63" s="262" t="s">
        <v>162</v>
      </c>
      <c r="D63" s="372">
        <v>105.0170068027211</v>
      </c>
      <c r="E63" s="373">
        <v>63150</v>
      </c>
      <c r="F63" s="174">
        <f>'元データ表（積立金・補填金の差額）'!R64</f>
        <v>506</v>
      </c>
      <c r="G63" s="174">
        <f t="shared" si="0"/>
        <v>63656</v>
      </c>
      <c r="H63" s="175">
        <f t="shared" si="1"/>
        <v>0.80126682501979407</v>
      </c>
      <c r="I63" s="176">
        <f t="shared" si="2"/>
        <v>105.81827362774089</v>
      </c>
    </row>
    <row r="64" spans="2:9" ht="12" hidden="1" customHeight="1">
      <c r="B64" s="274">
        <v>8</v>
      </c>
      <c r="C64" s="262" t="s">
        <v>163</v>
      </c>
      <c r="D64" s="372">
        <v>105.0170068027211</v>
      </c>
      <c r="E64" s="373">
        <v>63110</v>
      </c>
      <c r="F64" s="174">
        <f>'元データ表（積立金・補填金の差額）'!R65</f>
        <v>506</v>
      </c>
      <c r="G64" s="174">
        <f t="shared" si="0"/>
        <v>63616</v>
      </c>
      <c r="H64" s="175">
        <f t="shared" si="1"/>
        <v>0.80177467913167488</v>
      </c>
      <c r="I64" s="176">
        <f t="shared" si="2"/>
        <v>105.81878148185277</v>
      </c>
    </row>
    <row r="65" spans="2:9" ht="12" hidden="1" customHeight="1">
      <c r="B65" s="274">
        <v>9</v>
      </c>
      <c r="C65" s="262" t="s">
        <v>164</v>
      </c>
      <c r="D65" s="372">
        <v>105.0170068027211</v>
      </c>
      <c r="E65" s="373">
        <v>63130</v>
      </c>
      <c r="F65" s="174">
        <f>'元データ表（積立金・補填金の差額）'!R66</f>
        <v>506</v>
      </c>
      <c r="G65" s="174">
        <f t="shared" si="0"/>
        <v>63636</v>
      </c>
      <c r="H65" s="175">
        <f t="shared" si="1"/>
        <v>0.80152067162996987</v>
      </c>
      <c r="I65" s="176">
        <f t="shared" si="2"/>
        <v>105.81852747435107</v>
      </c>
    </row>
    <row r="66" spans="2:9" ht="12" hidden="1" customHeight="1">
      <c r="B66" s="274">
        <v>10</v>
      </c>
      <c r="C66" s="262" t="s">
        <v>165</v>
      </c>
      <c r="D66" s="372">
        <v>102.89115646258504</v>
      </c>
      <c r="E66" s="373">
        <v>61860</v>
      </c>
      <c r="F66" s="174">
        <f>'元データ表（積立金・補填金の差額）'!R67</f>
        <v>506</v>
      </c>
      <c r="G66" s="174">
        <f t="shared" si="0"/>
        <v>62366</v>
      </c>
      <c r="H66" s="175">
        <f t="shared" si="1"/>
        <v>0.81797607500808289</v>
      </c>
      <c r="I66" s="176">
        <f t="shared" si="2"/>
        <v>103.70913253759312</v>
      </c>
    </row>
    <row r="67" spans="2:9" ht="12" hidden="1" customHeight="1">
      <c r="B67" s="274">
        <v>11</v>
      </c>
      <c r="C67" s="262" t="s">
        <v>166</v>
      </c>
      <c r="D67" s="372">
        <v>102.89115646258504</v>
      </c>
      <c r="E67" s="373">
        <v>61830</v>
      </c>
      <c r="F67" s="174">
        <f>'元データ表（積立金・補填金の差額）'!R68</f>
        <v>506</v>
      </c>
      <c r="G67" s="174">
        <f t="shared" si="0"/>
        <v>62336</v>
      </c>
      <c r="H67" s="175">
        <f t="shared" si="1"/>
        <v>0.81837295811094946</v>
      </c>
      <c r="I67" s="176">
        <f t="shared" si="2"/>
        <v>103.709529420696</v>
      </c>
    </row>
    <row r="68" spans="2:9" ht="12" hidden="1" customHeight="1">
      <c r="B68" s="274">
        <v>12</v>
      </c>
      <c r="C68" s="262" t="s">
        <v>167</v>
      </c>
      <c r="D68" s="374">
        <v>102.97619047619048</v>
      </c>
      <c r="E68" s="375">
        <v>61880</v>
      </c>
      <c r="F68" s="181">
        <f>'元データ表（積立金・補填金の差額）'!R69</f>
        <v>506</v>
      </c>
      <c r="G68" s="181">
        <f t="shared" si="0"/>
        <v>62386</v>
      </c>
      <c r="H68" s="182">
        <f t="shared" si="1"/>
        <v>0.81771170006464133</v>
      </c>
      <c r="I68" s="183">
        <f t="shared" si="2"/>
        <v>103.79390217625512</v>
      </c>
    </row>
    <row r="69" spans="2:9" ht="12" hidden="1" customHeight="1">
      <c r="B69" s="275">
        <v>40179</v>
      </c>
      <c r="C69" s="264" t="s">
        <v>311</v>
      </c>
      <c r="D69" s="416">
        <v>81.271518936664265</v>
      </c>
      <c r="E69" s="174">
        <v>60190</v>
      </c>
      <c r="F69" s="174">
        <f>'元データ表（積立金・補填金の差額）'!R70</f>
        <v>506</v>
      </c>
      <c r="G69" s="174">
        <f t="shared" si="0"/>
        <v>60696</v>
      </c>
      <c r="H69" s="175">
        <f t="shared" si="1"/>
        <v>0.84067120784183413</v>
      </c>
      <c r="I69" s="176">
        <f t="shared" si="2"/>
        <v>82.112190144506101</v>
      </c>
    </row>
    <row r="70" spans="2:9" ht="12" hidden="1" customHeight="1">
      <c r="B70" s="274">
        <v>2</v>
      </c>
      <c r="C70" s="262" t="s">
        <v>306</v>
      </c>
      <c r="D70" s="416">
        <v>81.111378012651144</v>
      </c>
      <c r="E70" s="174">
        <v>60040</v>
      </c>
      <c r="F70" s="174">
        <f>'元データ表（積立金・補填金の差額）'!R71</f>
        <v>506</v>
      </c>
      <c r="G70" s="174">
        <f t="shared" si="0"/>
        <v>60546</v>
      </c>
      <c r="H70" s="175">
        <f t="shared" si="1"/>
        <v>0.84277148567621585</v>
      </c>
      <c r="I70" s="176">
        <f t="shared" si="2"/>
        <v>81.954149498327354</v>
      </c>
    </row>
    <row r="71" spans="2:9" ht="12" hidden="1" customHeight="1">
      <c r="B71" s="274">
        <v>3</v>
      </c>
      <c r="C71" s="262" t="s">
        <v>168</v>
      </c>
      <c r="D71" s="416">
        <v>80.95123708863801</v>
      </c>
      <c r="E71" s="174">
        <v>59940</v>
      </c>
      <c r="F71" s="174">
        <f>'元データ表（積立金・補填金の差額）'!R72</f>
        <v>506</v>
      </c>
      <c r="G71" s="174">
        <f t="shared" si="0"/>
        <v>60446</v>
      </c>
      <c r="H71" s="175">
        <f t="shared" si="1"/>
        <v>0.84417751084417747</v>
      </c>
      <c r="I71" s="176">
        <f t="shared" si="2"/>
        <v>81.795414599482186</v>
      </c>
    </row>
    <row r="72" spans="2:9" ht="12" hidden="1" customHeight="1">
      <c r="B72" s="274">
        <v>4</v>
      </c>
      <c r="C72" s="262" t="s">
        <v>169</v>
      </c>
      <c r="D72" s="416">
        <v>79.990391544559216</v>
      </c>
      <c r="E72" s="174">
        <v>59250</v>
      </c>
      <c r="F72" s="174">
        <f>'元データ表（積立金・補填金の差額）'!R73</f>
        <v>506</v>
      </c>
      <c r="G72" s="174">
        <f t="shared" si="0"/>
        <v>59756</v>
      </c>
      <c r="H72" s="175">
        <f t="shared" si="1"/>
        <v>0.85400843881856536</v>
      </c>
      <c r="I72" s="176">
        <f t="shared" si="2"/>
        <v>80.844399983377784</v>
      </c>
    </row>
    <row r="73" spans="2:9" ht="12" hidden="1" customHeight="1">
      <c r="B73" s="274">
        <v>5</v>
      </c>
      <c r="C73" s="262" t="s">
        <v>160</v>
      </c>
      <c r="D73" s="416">
        <v>79.910321082552656</v>
      </c>
      <c r="E73" s="174">
        <v>59150</v>
      </c>
      <c r="F73" s="174">
        <f>'元データ表（積立金・補填金の差額）'!R74</f>
        <v>506</v>
      </c>
      <c r="G73" s="174">
        <f t="shared" si="0"/>
        <v>59656</v>
      </c>
      <c r="H73" s="175">
        <f t="shared" si="1"/>
        <v>0.85545224006762477</v>
      </c>
      <c r="I73" s="176">
        <f t="shared" si="2"/>
        <v>80.765773322620277</v>
      </c>
    </row>
    <row r="74" spans="2:9" ht="12" hidden="1" customHeight="1">
      <c r="B74" s="274">
        <v>6</v>
      </c>
      <c r="C74" s="262" t="s">
        <v>161</v>
      </c>
      <c r="D74" s="416">
        <v>79.830250620546096</v>
      </c>
      <c r="E74" s="174">
        <v>59140</v>
      </c>
      <c r="F74" s="174">
        <f>'元データ表（積立金・補填金の差額）'!R75</f>
        <v>506</v>
      </c>
      <c r="G74" s="174">
        <f t="shared" ref="G74:G130" si="3">E74+F74</f>
        <v>59646</v>
      </c>
      <c r="H74" s="175">
        <f t="shared" ref="H74:H128" si="4">F74/E74*100</f>
        <v>0.8555968887385863</v>
      </c>
      <c r="I74" s="176">
        <f t="shared" ref="I74:I128" si="5">D74+H74</f>
        <v>80.685847509284685</v>
      </c>
    </row>
    <row r="75" spans="2:9" ht="12" hidden="1" customHeight="1">
      <c r="B75" s="274">
        <v>7</v>
      </c>
      <c r="C75" s="262" t="s">
        <v>162</v>
      </c>
      <c r="D75" s="416">
        <v>79.830250620546096</v>
      </c>
      <c r="E75" s="174">
        <v>59110</v>
      </c>
      <c r="F75" s="174">
        <f>'元データ表（積立金・補填金の差額）'!R76</f>
        <v>506</v>
      </c>
      <c r="G75" s="174">
        <f t="shared" si="3"/>
        <v>59616</v>
      </c>
      <c r="H75" s="175">
        <f t="shared" si="4"/>
        <v>0.85603112840466933</v>
      </c>
      <c r="I75" s="176">
        <f t="shared" si="5"/>
        <v>80.686281748950762</v>
      </c>
    </row>
    <row r="76" spans="2:9" ht="12" hidden="1" customHeight="1">
      <c r="B76" s="274">
        <v>8</v>
      </c>
      <c r="C76" s="262" t="s">
        <v>163</v>
      </c>
      <c r="D76" s="416">
        <v>79.670109696532961</v>
      </c>
      <c r="E76" s="174">
        <v>58960</v>
      </c>
      <c r="F76" s="174">
        <f>'元データ表（積立金・補填金の差額）'!R77</f>
        <v>506</v>
      </c>
      <c r="G76" s="174">
        <f t="shared" si="3"/>
        <v>59466</v>
      </c>
      <c r="H76" s="175">
        <f t="shared" si="4"/>
        <v>0.85820895522388063</v>
      </c>
      <c r="I76" s="176">
        <f t="shared" si="5"/>
        <v>80.528318651756848</v>
      </c>
    </row>
    <row r="77" spans="2:9" ht="12" hidden="1" customHeight="1">
      <c r="B77" s="274">
        <v>9</v>
      </c>
      <c r="C77" s="262" t="s">
        <v>164</v>
      </c>
      <c r="D77" s="416">
        <v>79.670109696532961</v>
      </c>
      <c r="E77" s="174">
        <v>58960</v>
      </c>
      <c r="F77" s="174">
        <f>'元データ表（積立金・補填金の差額）'!R78</f>
        <v>506</v>
      </c>
      <c r="G77" s="174">
        <f t="shared" si="3"/>
        <v>59466</v>
      </c>
      <c r="H77" s="175">
        <f t="shared" si="4"/>
        <v>0.85820895522388063</v>
      </c>
      <c r="I77" s="176">
        <f t="shared" si="5"/>
        <v>80.528318651756848</v>
      </c>
    </row>
    <row r="78" spans="2:9" ht="12" hidden="1" customHeight="1">
      <c r="B78" s="274">
        <v>10</v>
      </c>
      <c r="C78" s="262" t="s">
        <v>165</v>
      </c>
      <c r="D78" s="416">
        <v>79.429898310513266</v>
      </c>
      <c r="E78" s="174">
        <v>58830</v>
      </c>
      <c r="F78" s="174">
        <f>'元データ表（積立金・補填金の差額）'!R79</f>
        <v>506</v>
      </c>
      <c r="G78" s="174">
        <f t="shared" si="3"/>
        <v>59336</v>
      </c>
      <c r="H78" s="175">
        <f t="shared" si="4"/>
        <v>0.86010538840727513</v>
      </c>
      <c r="I78" s="176">
        <f t="shared" si="5"/>
        <v>80.290003698920543</v>
      </c>
    </row>
    <row r="79" spans="2:9" ht="12" hidden="1" customHeight="1">
      <c r="B79" s="274">
        <v>11</v>
      </c>
      <c r="C79" s="262" t="s">
        <v>166</v>
      </c>
      <c r="D79" s="416">
        <v>79.590039234526401</v>
      </c>
      <c r="E79" s="174">
        <v>58900</v>
      </c>
      <c r="F79" s="174">
        <f>'元データ表（積立金・補填金の差額）'!R80</f>
        <v>506</v>
      </c>
      <c r="G79" s="174">
        <f t="shared" si="3"/>
        <v>59406</v>
      </c>
      <c r="H79" s="175">
        <f t="shared" si="4"/>
        <v>0.85908319185059412</v>
      </c>
      <c r="I79" s="176">
        <f t="shared" si="5"/>
        <v>80.449122426376988</v>
      </c>
    </row>
    <row r="80" spans="2:9" ht="12" hidden="1" customHeight="1">
      <c r="B80" s="276">
        <v>12</v>
      </c>
      <c r="C80" s="263" t="s">
        <v>167</v>
      </c>
      <c r="D80" s="416">
        <v>79.670109696532961</v>
      </c>
      <c r="E80" s="174">
        <v>58980</v>
      </c>
      <c r="F80" s="174">
        <f>'元データ表（積立金・補填金の差額）'!R81</f>
        <v>506</v>
      </c>
      <c r="G80" s="174">
        <f t="shared" si="3"/>
        <v>59486</v>
      </c>
      <c r="H80" s="175">
        <f t="shared" si="4"/>
        <v>0.85791793828416418</v>
      </c>
      <c r="I80" s="176">
        <f t="shared" si="5"/>
        <v>80.528027634817121</v>
      </c>
    </row>
    <row r="81" spans="2:9" ht="12" hidden="1" customHeight="1">
      <c r="B81" s="277">
        <v>40544</v>
      </c>
      <c r="C81" s="262" t="s">
        <v>312</v>
      </c>
      <c r="D81" s="417">
        <v>82.952998638802143</v>
      </c>
      <c r="E81" s="177">
        <v>61460</v>
      </c>
      <c r="F81" s="177">
        <f>'元データ表（積立金・補填金の差額）'!R82</f>
        <v>-2744</v>
      </c>
      <c r="G81" s="177">
        <f t="shared" si="3"/>
        <v>58716</v>
      </c>
      <c r="H81" s="178">
        <f t="shared" si="4"/>
        <v>-4.4646924829157175</v>
      </c>
      <c r="I81" s="179">
        <f t="shared" si="5"/>
        <v>78.48830615588642</v>
      </c>
    </row>
    <row r="82" spans="2:9" ht="12" hidden="1" customHeight="1">
      <c r="B82" s="274">
        <v>2</v>
      </c>
      <c r="C82" s="262" t="s">
        <v>306</v>
      </c>
      <c r="D82" s="416">
        <v>82.952998638802143</v>
      </c>
      <c r="E82" s="174">
        <v>61500</v>
      </c>
      <c r="F82" s="174">
        <f>'元データ表（積立金・補填金の差額）'!R83</f>
        <v>-2744</v>
      </c>
      <c r="G82" s="174">
        <f t="shared" si="3"/>
        <v>58756</v>
      </c>
      <c r="H82" s="175">
        <f t="shared" si="4"/>
        <v>-4.461788617886179</v>
      </c>
      <c r="I82" s="176">
        <f t="shared" si="5"/>
        <v>78.491210020915958</v>
      </c>
    </row>
    <row r="83" spans="2:9" ht="12" hidden="1" customHeight="1">
      <c r="B83" s="274">
        <v>3</v>
      </c>
      <c r="C83" s="262" t="s">
        <v>168</v>
      </c>
      <c r="D83" s="416">
        <v>82.952998638802143</v>
      </c>
      <c r="E83" s="174">
        <v>61500</v>
      </c>
      <c r="F83" s="174">
        <f>'元データ表（積立金・補填金の差額）'!R84</f>
        <v>-2744</v>
      </c>
      <c r="G83" s="174">
        <f t="shared" si="3"/>
        <v>58756</v>
      </c>
      <c r="H83" s="175">
        <f t="shared" si="4"/>
        <v>-4.461788617886179</v>
      </c>
      <c r="I83" s="176">
        <f t="shared" si="5"/>
        <v>78.491210020915958</v>
      </c>
    </row>
    <row r="84" spans="2:9" ht="12" hidden="1" customHeight="1">
      <c r="B84" s="274">
        <v>4</v>
      </c>
      <c r="C84" s="262" t="s">
        <v>169</v>
      </c>
      <c r="D84" s="416">
        <v>83.433421410841547</v>
      </c>
      <c r="E84" s="174">
        <v>61830</v>
      </c>
      <c r="F84" s="174">
        <f>'元データ表（積立金・補填金の差額）'!R85</f>
        <v>-4194</v>
      </c>
      <c r="G84" s="174">
        <f t="shared" si="3"/>
        <v>57636</v>
      </c>
      <c r="H84" s="175">
        <f t="shared" si="4"/>
        <v>-6.7831149927219796</v>
      </c>
      <c r="I84" s="176">
        <f t="shared" si="5"/>
        <v>76.65030641811957</v>
      </c>
    </row>
    <row r="85" spans="2:9" ht="12" hidden="1" customHeight="1">
      <c r="B85" s="274">
        <v>5</v>
      </c>
      <c r="C85" s="262" t="s">
        <v>160</v>
      </c>
      <c r="D85" s="416">
        <v>85.034830650972864</v>
      </c>
      <c r="E85" s="174">
        <v>63000</v>
      </c>
      <c r="F85" s="174">
        <f>'元データ表（積立金・補填金の差額）'!R86</f>
        <v>-4194</v>
      </c>
      <c r="G85" s="174">
        <f t="shared" si="3"/>
        <v>58806</v>
      </c>
      <c r="H85" s="175">
        <f t="shared" si="4"/>
        <v>-6.6571428571428575</v>
      </c>
      <c r="I85" s="176">
        <f t="shared" si="5"/>
        <v>78.377687793830006</v>
      </c>
    </row>
    <row r="86" spans="2:9" ht="12" hidden="1" customHeight="1">
      <c r="B86" s="274">
        <v>6</v>
      </c>
      <c r="C86" s="262" t="s">
        <v>161</v>
      </c>
      <c r="D86" s="416">
        <v>85.114901112979425</v>
      </c>
      <c r="E86" s="174">
        <v>63100</v>
      </c>
      <c r="F86" s="174">
        <f>'元データ表（積立金・補填金の差額）'!R87</f>
        <v>-4194</v>
      </c>
      <c r="G86" s="174">
        <f t="shared" si="3"/>
        <v>58906</v>
      </c>
      <c r="H86" s="175">
        <f t="shared" si="4"/>
        <v>-6.6465927099841515</v>
      </c>
      <c r="I86" s="176">
        <f t="shared" si="5"/>
        <v>78.468308402995277</v>
      </c>
    </row>
    <row r="87" spans="2:9" ht="12" hidden="1" customHeight="1">
      <c r="B87" s="274">
        <v>7</v>
      </c>
      <c r="C87" s="262" t="s">
        <v>162</v>
      </c>
      <c r="D87" s="416">
        <v>86.556169429097608</v>
      </c>
      <c r="E87" s="174">
        <v>64170</v>
      </c>
      <c r="F87" s="174">
        <f>'元データ表（積立金・補填金の差額）'!R88</f>
        <v>-4194</v>
      </c>
      <c r="G87" s="174">
        <f t="shared" si="3"/>
        <v>59976</v>
      </c>
      <c r="H87" s="175">
        <f t="shared" si="4"/>
        <v>-6.5357643758765782</v>
      </c>
      <c r="I87" s="176">
        <f t="shared" si="5"/>
        <v>80.020405053221026</v>
      </c>
    </row>
    <row r="88" spans="2:9" ht="12" hidden="1" customHeight="1">
      <c r="B88" s="274">
        <v>8</v>
      </c>
      <c r="C88" s="262" t="s">
        <v>163</v>
      </c>
      <c r="D88" s="416">
        <v>86.636239891104182</v>
      </c>
      <c r="E88" s="174">
        <v>64200</v>
      </c>
      <c r="F88" s="174">
        <f>'元データ表（積立金・補填金の差額）'!R89</f>
        <v>-4194</v>
      </c>
      <c r="G88" s="174">
        <f t="shared" si="3"/>
        <v>60006</v>
      </c>
      <c r="H88" s="175">
        <f t="shared" si="4"/>
        <v>-6.5327102803738324</v>
      </c>
      <c r="I88" s="176">
        <f t="shared" si="5"/>
        <v>80.103529610730348</v>
      </c>
    </row>
    <row r="89" spans="2:9" ht="12" hidden="1" customHeight="1">
      <c r="B89" s="274">
        <v>9</v>
      </c>
      <c r="C89" s="262" t="s">
        <v>164</v>
      </c>
      <c r="D89" s="416">
        <v>86.556169429097608</v>
      </c>
      <c r="E89" s="174">
        <v>64170</v>
      </c>
      <c r="F89" s="174">
        <f>'元データ表（積立金・補填金の差額）'!R90</f>
        <v>-4194</v>
      </c>
      <c r="G89" s="174">
        <f t="shared" si="3"/>
        <v>59976</v>
      </c>
      <c r="H89" s="175">
        <f t="shared" si="4"/>
        <v>-6.5357643758765782</v>
      </c>
      <c r="I89" s="176">
        <f t="shared" si="5"/>
        <v>80.020405053221026</v>
      </c>
    </row>
    <row r="90" spans="2:9" ht="12" hidden="1" customHeight="1">
      <c r="B90" s="274">
        <v>10</v>
      </c>
      <c r="C90" s="262" t="s">
        <v>165</v>
      </c>
      <c r="D90" s="416">
        <v>85.515253423012254</v>
      </c>
      <c r="E90" s="174">
        <v>63380</v>
      </c>
      <c r="F90" s="174">
        <f>'元データ表（積立金・補填金の差額）'!R91</f>
        <v>-1594</v>
      </c>
      <c r="G90" s="174">
        <f t="shared" si="3"/>
        <v>61786</v>
      </c>
      <c r="H90" s="175">
        <f t="shared" si="4"/>
        <v>-2.5149889555064688</v>
      </c>
      <c r="I90" s="176">
        <f t="shared" si="5"/>
        <v>83.000264467505787</v>
      </c>
    </row>
    <row r="91" spans="2:9" ht="12" hidden="1" customHeight="1">
      <c r="B91" s="274">
        <v>11</v>
      </c>
      <c r="C91" s="262" t="s">
        <v>166</v>
      </c>
      <c r="D91" s="416">
        <v>85.515253423012254</v>
      </c>
      <c r="E91" s="174">
        <v>63370</v>
      </c>
      <c r="F91" s="174">
        <f>'元データ表（積立金・補填金の差額）'!R92</f>
        <v>-1594</v>
      </c>
      <c r="G91" s="174">
        <f t="shared" si="3"/>
        <v>61776</v>
      </c>
      <c r="H91" s="175">
        <f t="shared" si="4"/>
        <v>-2.5153858292567461</v>
      </c>
      <c r="I91" s="176">
        <f t="shared" si="5"/>
        <v>82.999867593755511</v>
      </c>
    </row>
    <row r="92" spans="2:9" ht="12" hidden="1" customHeight="1">
      <c r="B92" s="274">
        <v>12</v>
      </c>
      <c r="C92" s="262" t="s">
        <v>167</v>
      </c>
      <c r="D92" s="418">
        <v>85.435182961005694</v>
      </c>
      <c r="E92" s="181">
        <v>63320</v>
      </c>
      <c r="F92" s="181">
        <f>'元データ表（積立金・補填金の差額）'!R93</f>
        <v>-1594</v>
      </c>
      <c r="G92" s="181">
        <f t="shared" si="3"/>
        <v>61726</v>
      </c>
      <c r="H92" s="182">
        <f t="shared" si="4"/>
        <v>-2.5173720783322806</v>
      </c>
      <c r="I92" s="183">
        <f t="shared" si="5"/>
        <v>82.917810882673407</v>
      </c>
    </row>
    <row r="93" spans="2:9" ht="12" hidden="1" customHeight="1">
      <c r="B93" s="275">
        <v>40909</v>
      </c>
      <c r="C93" s="264" t="s">
        <v>313</v>
      </c>
      <c r="D93" s="416">
        <v>82.872928176795583</v>
      </c>
      <c r="E93" s="174">
        <v>60470</v>
      </c>
      <c r="F93" s="174">
        <f>'元データ表（積立金・補填金の差額）'!R94</f>
        <v>506</v>
      </c>
      <c r="G93" s="174">
        <f t="shared" si="3"/>
        <v>60976</v>
      </c>
      <c r="H93" s="175">
        <f t="shared" si="4"/>
        <v>0.83677856788490157</v>
      </c>
      <c r="I93" s="176">
        <f t="shared" si="5"/>
        <v>83.709706744680489</v>
      </c>
    </row>
    <row r="94" spans="2:9" ht="12" hidden="1" customHeight="1">
      <c r="B94" s="274">
        <v>2</v>
      </c>
      <c r="C94" s="262" t="s">
        <v>314</v>
      </c>
      <c r="D94" s="416">
        <v>82.712787252782448</v>
      </c>
      <c r="E94" s="174">
        <v>60390</v>
      </c>
      <c r="F94" s="174">
        <f>'元データ表（積立金・補填金の差額）'!R95</f>
        <v>506</v>
      </c>
      <c r="G94" s="174">
        <f t="shared" si="3"/>
        <v>60896</v>
      </c>
      <c r="H94" s="175">
        <f t="shared" si="4"/>
        <v>0.8378870673952642</v>
      </c>
      <c r="I94" s="176">
        <f t="shared" si="5"/>
        <v>83.550674320177706</v>
      </c>
    </row>
    <row r="95" spans="2:9" ht="12" hidden="1" customHeight="1">
      <c r="B95" s="274">
        <v>3</v>
      </c>
      <c r="C95" s="262" t="s">
        <v>168</v>
      </c>
      <c r="D95" s="416">
        <v>82.792857714789022</v>
      </c>
      <c r="E95" s="174">
        <v>60410</v>
      </c>
      <c r="F95" s="174">
        <f>'元データ表（積立金・補填金の差額）'!R96</f>
        <v>506</v>
      </c>
      <c r="G95" s="174">
        <f t="shared" si="3"/>
        <v>60916</v>
      </c>
      <c r="H95" s="175">
        <f t="shared" si="4"/>
        <v>0.83760966727363018</v>
      </c>
      <c r="I95" s="176">
        <f t="shared" si="5"/>
        <v>83.630467382062648</v>
      </c>
    </row>
    <row r="96" spans="2:9" ht="12" hidden="1" customHeight="1">
      <c r="B96" s="274">
        <v>4</v>
      </c>
      <c r="C96" s="262" t="s">
        <v>169</v>
      </c>
      <c r="D96" s="416">
        <v>84.073985106894071</v>
      </c>
      <c r="E96" s="174">
        <v>61380</v>
      </c>
      <c r="F96" s="174">
        <f>'元データ表（積立金・補填金の差額）'!R97</f>
        <v>506</v>
      </c>
      <c r="G96" s="174">
        <f t="shared" si="3"/>
        <v>61886</v>
      </c>
      <c r="H96" s="175">
        <f t="shared" si="4"/>
        <v>0.82437275985663083</v>
      </c>
      <c r="I96" s="176">
        <f t="shared" si="5"/>
        <v>84.8983578667507</v>
      </c>
    </row>
    <row r="97" spans="2:9" ht="12" hidden="1" customHeight="1">
      <c r="B97" s="274">
        <v>5</v>
      </c>
      <c r="C97" s="262" t="s">
        <v>160</v>
      </c>
      <c r="D97" s="416">
        <v>84.154055568900631</v>
      </c>
      <c r="E97" s="174">
        <v>61450</v>
      </c>
      <c r="F97" s="174">
        <f>'元データ表（積立金・補填金の差額）'!R98</f>
        <v>506</v>
      </c>
      <c r="G97" s="174">
        <f t="shared" si="3"/>
        <v>61956</v>
      </c>
      <c r="H97" s="175">
        <f t="shared" si="4"/>
        <v>0.82343368592351496</v>
      </c>
      <c r="I97" s="176">
        <f t="shared" si="5"/>
        <v>84.97748925482415</v>
      </c>
    </row>
    <row r="98" spans="2:9" ht="12" hidden="1" customHeight="1">
      <c r="B98" s="274">
        <v>6</v>
      </c>
      <c r="C98" s="262" t="s">
        <v>161</v>
      </c>
      <c r="D98" s="416">
        <v>84.234126030907206</v>
      </c>
      <c r="E98" s="174">
        <v>61480</v>
      </c>
      <c r="F98" s="174">
        <f>'元データ表（積立金・補填金の差額）'!R99</f>
        <v>506</v>
      </c>
      <c r="G98" s="174">
        <f t="shared" si="3"/>
        <v>61986</v>
      </c>
      <c r="H98" s="175">
        <f t="shared" si="4"/>
        <v>0.82303188028627194</v>
      </c>
      <c r="I98" s="176">
        <f t="shared" si="5"/>
        <v>85.057157911193471</v>
      </c>
    </row>
    <row r="99" spans="2:9" ht="12" hidden="1" customHeight="1">
      <c r="B99" s="274">
        <v>7</v>
      </c>
      <c r="C99" s="262" t="s">
        <v>162</v>
      </c>
      <c r="D99" s="416">
        <v>85.595323885018828</v>
      </c>
      <c r="E99" s="174">
        <v>62500</v>
      </c>
      <c r="F99" s="174">
        <f>'元データ表（積立金・補填金の差額）'!R100</f>
        <v>56</v>
      </c>
      <c r="G99" s="174">
        <f t="shared" si="3"/>
        <v>62556</v>
      </c>
      <c r="H99" s="175">
        <f t="shared" si="4"/>
        <v>8.9599999999999999E-2</v>
      </c>
      <c r="I99" s="176">
        <f t="shared" si="5"/>
        <v>85.684923885018833</v>
      </c>
    </row>
    <row r="100" spans="2:9" ht="12" hidden="1" customHeight="1">
      <c r="B100" s="274">
        <v>8</v>
      </c>
      <c r="C100" s="262" t="s">
        <v>163</v>
      </c>
      <c r="D100" s="416">
        <v>85.675394347025389</v>
      </c>
      <c r="E100" s="174">
        <v>62520</v>
      </c>
      <c r="F100" s="174">
        <f>'元データ表（積立金・補填金の差額）'!R101</f>
        <v>56</v>
      </c>
      <c r="G100" s="174">
        <f t="shared" si="3"/>
        <v>62576</v>
      </c>
      <c r="H100" s="175">
        <f t="shared" si="4"/>
        <v>8.9571337172104928E-2</v>
      </c>
      <c r="I100" s="176">
        <f t="shared" si="5"/>
        <v>85.764965684197492</v>
      </c>
    </row>
    <row r="101" spans="2:9" ht="12" hidden="1" customHeight="1">
      <c r="B101" s="274">
        <v>9</v>
      </c>
      <c r="C101" s="262" t="s">
        <v>164</v>
      </c>
      <c r="D101" s="416">
        <v>85.835535271038523</v>
      </c>
      <c r="E101" s="174">
        <v>62640</v>
      </c>
      <c r="F101" s="174">
        <f>'元データ表（積立金・補填金の差額）'!R102</f>
        <v>56</v>
      </c>
      <c r="G101" s="174">
        <f t="shared" si="3"/>
        <v>62696</v>
      </c>
      <c r="H101" s="175">
        <f t="shared" si="4"/>
        <v>8.9399744572158366E-2</v>
      </c>
      <c r="I101" s="176">
        <f t="shared" si="5"/>
        <v>85.924935015610686</v>
      </c>
    </row>
    <row r="102" spans="2:9" ht="12" hidden="1" customHeight="1">
      <c r="B102" s="274">
        <v>10</v>
      </c>
      <c r="C102" s="262" t="s">
        <v>165</v>
      </c>
      <c r="D102" s="416">
        <v>91.680678997517816</v>
      </c>
      <c r="E102" s="174">
        <v>66930</v>
      </c>
      <c r="F102" s="174">
        <f>'元データ表（積立金・補填金の差額）'!R103</f>
        <v>-4944</v>
      </c>
      <c r="G102" s="174">
        <f t="shared" si="3"/>
        <v>61986</v>
      </c>
      <c r="H102" s="175">
        <f t="shared" si="4"/>
        <v>-7.3868220528910804</v>
      </c>
      <c r="I102" s="176">
        <f t="shared" si="5"/>
        <v>84.293856944626739</v>
      </c>
    </row>
    <row r="103" spans="2:9" ht="12" hidden="1" customHeight="1">
      <c r="B103" s="274">
        <v>11</v>
      </c>
      <c r="C103" s="262" t="s">
        <v>166</v>
      </c>
      <c r="D103" s="416">
        <v>91.760749459524391</v>
      </c>
      <c r="E103" s="174">
        <v>67000</v>
      </c>
      <c r="F103" s="174">
        <f>'元データ表（積立金・補填金の差額）'!R104</f>
        <v>-4944</v>
      </c>
      <c r="G103" s="174">
        <f t="shared" si="3"/>
        <v>62056</v>
      </c>
      <c r="H103" s="175">
        <f t="shared" si="4"/>
        <v>-7.3791044776119401</v>
      </c>
      <c r="I103" s="176">
        <f t="shared" si="5"/>
        <v>84.381644981912444</v>
      </c>
    </row>
    <row r="104" spans="2:9" ht="12" hidden="1" customHeight="1">
      <c r="B104" s="276">
        <v>12</v>
      </c>
      <c r="C104" s="263" t="s">
        <v>167</v>
      </c>
      <c r="D104" s="416">
        <v>91.840819921530951</v>
      </c>
      <c r="E104" s="174">
        <v>67050</v>
      </c>
      <c r="F104" s="174">
        <f>'元データ表（積立金・補填金の差額）'!R105</f>
        <v>-4944</v>
      </c>
      <c r="G104" s="174">
        <f t="shared" si="3"/>
        <v>62106</v>
      </c>
      <c r="H104" s="175">
        <f t="shared" si="4"/>
        <v>-7.3736017897091717</v>
      </c>
      <c r="I104" s="176">
        <f t="shared" si="5"/>
        <v>84.467218131821781</v>
      </c>
    </row>
    <row r="105" spans="2:9" ht="12" hidden="1" customHeight="1">
      <c r="B105" s="277">
        <v>41275</v>
      </c>
      <c r="C105" s="262" t="s">
        <v>315</v>
      </c>
      <c r="D105" s="417">
        <v>91.920890383537511</v>
      </c>
      <c r="E105" s="177">
        <v>67460</v>
      </c>
      <c r="F105" s="177">
        <f>'元データ表（積立金・補填金の差額）'!R106</f>
        <v>-3794</v>
      </c>
      <c r="G105" s="177">
        <f t="shared" si="3"/>
        <v>63666</v>
      </c>
      <c r="H105" s="178">
        <f t="shared" si="4"/>
        <v>-5.624073525051883</v>
      </c>
      <c r="I105" s="179">
        <f t="shared" si="5"/>
        <v>86.296816858485627</v>
      </c>
    </row>
    <row r="106" spans="2:9" ht="12" hidden="1" customHeight="1">
      <c r="B106" s="274">
        <v>2</v>
      </c>
      <c r="C106" s="262" t="s">
        <v>306</v>
      </c>
      <c r="D106" s="416">
        <v>91.920890383537511</v>
      </c>
      <c r="E106" s="174">
        <v>67460</v>
      </c>
      <c r="F106" s="174">
        <f>'元データ表（積立金・補填金の差額）'!R107</f>
        <v>-3794</v>
      </c>
      <c r="G106" s="174">
        <f t="shared" si="3"/>
        <v>63666</v>
      </c>
      <c r="H106" s="175">
        <f t="shared" si="4"/>
        <v>-5.624073525051883</v>
      </c>
      <c r="I106" s="176">
        <f t="shared" si="5"/>
        <v>86.296816858485627</v>
      </c>
    </row>
    <row r="107" spans="2:9" ht="12" hidden="1" customHeight="1">
      <c r="B107" s="274">
        <v>3</v>
      </c>
      <c r="C107" s="262" t="s">
        <v>168</v>
      </c>
      <c r="D107" s="416">
        <v>91.920890383537511</v>
      </c>
      <c r="E107" s="174">
        <v>67460</v>
      </c>
      <c r="F107" s="174">
        <f>'元データ表（積立金・補填金の差額）'!R108</f>
        <v>-3794</v>
      </c>
      <c r="G107" s="174">
        <f t="shared" si="3"/>
        <v>63666</v>
      </c>
      <c r="H107" s="175">
        <f t="shared" si="4"/>
        <v>-5.624073525051883</v>
      </c>
      <c r="I107" s="176">
        <f t="shared" si="5"/>
        <v>86.296816858485627</v>
      </c>
    </row>
    <row r="108" spans="2:9" ht="12" hidden="1" customHeight="1">
      <c r="B108" s="274">
        <v>4</v>
      </c>
      <c r="C108" s="262" t="s">
        <v>169</v>
      </c>
      <c r="D108" s="416">
        <v>96.324765793898635</v>
      </c>
      <c r="E108" s="174">
        <v>70690</v>
      </c>
      <c r="F108" s="174">
        <f>'元データ表（積立金・補填金の差額）'!R109</f>
        <v>-5177.3333333333339</v>
      </c>
      <c r="G108" s="174">
        <f t="shared" si="3"/>
        <v>65512.666666666664</v>
      </c>
      <c r="H108" s="175">
        <f t="shared" si="4"/>
        <v>-7.3239967935115766</v>
      </c>
      <c r="I108" s="176">
        <f t="shared" si="5"/>
        <v>89.000769000387052</v>
      </c>
    </row>
    <row r="109" spans="2:9" ht="12" hidden="1" customHeight="1">
      <c r="B109" s="274">
        <v>5</v>
      </c>
      <c r="C109" s="262" t="s">
        <v>160</v>
      </c>
      <c r="D109" s="416">
        <v>96.885259027944599</v>
      </c>
      <c r="E109" s="174">
        <v>71130</v>
      </c>
      <c r="F109" s="174">
        <f>'元データ表（積立金・補填金の差額）'!R110</f>
        <v>-5177.3333333333339</v>
      </c>
      <c r="G109" s="174">
        <f t="shared" si="3"/>
        <v>65952.666666666672</v>
      </c>
      <c r="H109" s="175">
        <f t="shared" si="4"/>
        <v>-7.2786915975444026</v>
      </c>
      <c r="I109" s="176">
        <f t="shared" si="5"/>
        <v>89.60656743040019</v>
      </c>
    </row>
    <row r="110" spans="2:9" ht="12" hidden="1" customHeight="1">
      <c r="B110" s="274">
        <v>6</v>
      </c>
      <c r="C110" s="262" t="s">
        <v>161</v>
      </c>
      <c r="D110" s="416">
        <v>96.885259027944599</v>
      </c>
      <c r="E110" s="174">
        <v>71110</v>
      </c>
      <c r="F110" s="174">
        <f>'元データ表（積立金・補填金の差額）'!R111</f>
        <v>-5177.3333333333339</v>
      </c>
      <c r="G110" s="174">
        <f t="shared" si="3"/>
        <v>65932.666666666672</v>
      </c>
      <c r="H110" s="175">
        <f t="shared" si="4"/>
        <v>-7.2807387615431498</v>
      </c>
      <c r="I110" s="176">
        <f t="shared" si="5"/>
        <v>89.604520266401451</v>
      </c>
    </row>
    <row r="111" spans="2:9" ht="12" hidden="1" customHeight="1">
      <c r="B111" s="274">
        <v>7</v>
      </c>
      <c r="C111" s="262" t="s">
        <v>162</v>
      </c>
      <c r="D111" s="416">
        <v>99.287372888141576</v>
      </c>
      <c r="E111" s="174">
        <v>72870</v>
      </c>
      <c r="F111" s="174">
        <f>'元データ表（積立金・補填金の差額）'!R112</f>
        <v>-4427.3333333333339</v>
      </c>
      <c r="G111" s="174">
        <f t="shared" si="3"/>
        <v>68442.666666666672</v>
      </c>
      <c r="H111" s="175">
        <f t="shared" si="4"/>
        <v>-6.07565985087599</v>
      </c>
      <c r="I111" s="176">
        <f t="shared" si="5"/>
        <v>93.211713037265582</v>
      </c>
    </row>
    <row r="112" spans="2:9" ht="12" hidden="1" customHeight="1">
      <c r="B112" s="274">
        <v>8</v>
      </c>
      <c r="C112" s="262" t="s">
        <v>163</v>
      </c>
      <c r="D112" s="416">
        <v>99.287372888141576</v>
      </c>
      <c r="E112" s="174">
        <v>72890</v>
      </c>
      <c r="F112" s="174">
        <f>'元データ表（積立金・補填金の差額）'!R113</f>
        <v>-4427.3333333333339</v>
      </c>
      <c r="G112" s="174">
        <f t="shared" si="3"/>
        <v>68462.666666666672</v>
      </c>
      <c r="H112" s="175">
        <f t="shared" si="4"/>
        <v>-6.0739927745003897</v>
      </c>
      <c r="I112" s="176">
        <f t="shared" si="5"/>
        <v>93.213380113641193</v>
      </c>
    </row>
    <row r="113" spans="2:9" ht="12" hidden="1" customHeight="1">
      <c r="B113" s="274">
        <v>9</v>
      </c>
      <c r="C113" s="262" t="s">
        <v>164</v>
      </c>
      <c r="D113" s="416">
        <v>99.287372888141576</v>
      </c>
      <c r="E113" s="174">
        <v>72850</v>
      </c>
      <c r="F113" s="174">
        <f>'元データ表（積立金・補填金の差額）'!R114</f>
        <v>-4427.3333333333339</v>
      </c>
      <c r="G113" s="174">
        <f t="shared" si="3"/>
        <v>68422.666666666672</v>
      </c>
      <c r="H113" s="175">
        <f t="shared" si="4"/>
        <v>-6.0773278425989483</v>
      </c>
      <c r="I113" s="176">
        <f t="shared" si="5"/>
        <v>93.210045045542628</v>
      </c>
    </row>
    <row r="114" spans="2:9" ht="12" hidden="1" customHeight="1">
      <c r="B114" s="274">
        <v>10</v>
      </c>
      <c r="C114" s="262" t="s">
        <v>165</v>
      </c>
      <c r="D114" s="416">
        <v>96.645047641924904</v>
      </c>
      <c r="E114" s="174">
        <v>70910</v>
      </c>
      <c r="F114" s="174">
        <f>'元データ表（積立金・補填金の差額）'!R115</f>
        <v>-77.333333333333343</v>
      </c>
      <c r="G114" s="174">
        <f t="shared" si="3"/>
        <v>70832.666666666672</v>
      </c>
      <c r="H114" s="175">
        <f t="shared" si="4"/>
        <v>-0.10905843087481787</v>
      </c>
      <c r="I114" s="176">
        <f t="shared" si="5"/>
        <v>96.535989211050079</v>
      </c>
    </row>
    <row r="115" spans="2:9" ht="12" hidden="1" customHeight="1">
      <c r="B115" s="274">
        <v>11</v>
      </c>
      <c r="C115" s="262" t="s">
        <v>166</v>
      </c>
      <c r="D115" s="416">
        <v>96.48490671791177</v>
      </c>
      <c r="E115" s="174">
        <v>70840</v>
      </c>
      <c r="F115" s="174">
        <f>'元データ表（積立金・補填金の差額）'!R116</f>
        <v>-77.333333333333343</v>
      </c>
      <c r="G115" s="174">
        <f t="shared" si="3"/>
        <v>70762.666666666672</v>
      </c>
      <c r="H115" s="175">
        <f t="shared" si="4"/>
        <v>-0.10916619612271787</v>
      </c>
      <c r="I115" s="176">
        <f t="shared" si="5"/>
        <v>96.375740521789055</v>
      </c>
    </row>
    <row r="116" spans="2:9" ht="12" hidden="1" customHeight="1">
      <c r="B116" s="274">
        <v>12</v>
      </c>
      <c r="C116" s="262" t="s">
        <v>167</v>
      </c>
      <c r="D116" s="418">
        <v>96.645047641924904</v>
      </c>
      <c r="E116" s="181">
        <v>70920</v>
      </c>
      <c r="F116" s="181">
        <f>'元データ表（積立金・補填金の差額）'!R117</f>
        <v>-77.333333333333343</v>
      </c>
      <c r="G116" s="181">
        <f t="shared" si="3"/>
        <v>70842.666666666672</v>
      </c>
      <c r="H116" s="182">
        <f t="shared" si="4"/>
        <v>-0.10904305320548976</v>
      </c>
      <c r="I116" s="183">
        <f t="shared" si="5"/>
        <v>96.536004588719408</v>
      </c>
    </row>
    <row r="117" spans="2:9" ht="12" hidden="1" customHeight="1">
      <c r="B117" s="275">
        <v>41640</v>
      </c>
      <c r="C117" s="264" t="s">
        <v>350</v>
      </c>
      <c r="D117" s="417">
        <v>96.08455440787894</v>
      </c>
      <c r="E117" s="177">
        <v>70180</v>
      </c>
      <c r="F117" s="177">
        <f>'元データ表（積立金・補填金の差額）'!R118</f>
        <v>622.66666666666674</v>
      </c>
      <c r="G117" s="177">
        <f t="shared" si="3"/>
        <v>70802.666666666672</v>
      </c>
      <c r="H117" s="178">
        <f t="shared" si="4"/>
        <v>0.88724232924859892</v>
      </c>
      <c r="I117" s="179">
        <f t="shared" si="5"/>
        <v>96.971796737127534</v>
      </c>
    </row>
    <row r="118" spans="2:9" ht="12" hidden="1" customHeight="1">
      <c r="B118" s="280">
        <v>2</v>
      </c>
      <c r="C118" s="262" t="s">
        <v>349</v>
      </c>
      <c r="D118" s="415">
        <v>96.08455440787894</v>
      </c>
      <c r="E118" s="174">
        <v>70170</v>
      </c>
      <c r="F118" s="174">
        <f>'元データ表（積立金・補填金の差額）'!R119</f>
        <v>622.66666666666674</v>
      </c>
      <c r="G118" s="174">
        <f t="shared" si="3"/>
        <v>70792.666666666672</v>
      </c>
      <c r="H118" s="175">
        <f t="shared" si="4"/>
        <v>0.88736877107975876</v>
      </c>
      <c r="I118" s="176">
        <f t="shared" si="5"/>
        <v>96.971923178958704</v>
      </c>
    </row>
    <row r="119" spans="2:9" ht="12" hidden="1" customHeight="1">
      <c r="B119" s="280">
        <v>3</v>
      </c>
      <c r="C119" s="262" t="s">
        <v>168</v>
      </c>
      <c r="D119" s="415">
        <v>96.1646248698855</v>
      </c>
      <c r="E119" s="174">
        <v>70190</v>
      </c>
      <c r="F119" s="174">
        <f>'元データ表（積立金・補填金の差額）'!R120</f>
        <v>622.66666666666674</v>
      </c>
      <c r="G119" s="174">
        <f t="shared" si="3"/>
        <v>70812.666666666672</v>
      </c>
      <c r="H119" s="175">
        <f t="shared" si="4"/>
        <v>0.88711592344588519</v>
      </c>
      <c r="I119" s="176">
        <f t="shared" si="5"/>
        <v>97.05174079333139</v>
      </c>
    </row>
    <row r="120" spans="2:9" ht="12" hidden="1" customHeight="1">
      <c r="B120" s="280">
        <v>4</v>
      </c>
      <c r="C120" s="262" t="s">
        <v>169</v>
      </c>
      <c r="D120" s="415">
        <v>100.6485707422532</v>
      </c>
      <c r="E120" s="174">
        <v>73460</v>
      </c>
      <c r="F120" s="174">
        <f>'元データ表（積立金・補填金の差額）'!R121</f>
        <v>622.66666666666674</v>
      </c>
      <c r="G120" s="174">
        <f t="shared" si="3"/>
        <v>74082.666666666672</v>
      </c>
      <c r="H120" s="175">
        <f t="shared" si="4"/>
        <v>0.84762682639077969</v>
      </c>
      <c r="I120" s="176">
        <f t="shared" si="5"/>
        <v>101.49619756864398</v>
      </c>
    </row>
    <row r="121" spans="2:9" ht="12" hidden="1" customHeight="1">
      <c r="B121" s="280">
        <v>5</v>
      </c>
      <c r="C121" s="262" t="s">
        <v>160</v>
      </c>
      <c r="D121" s="415">
        <v>100.56850028024662</v>
      </c>
      <c r="E121" s="174">
        <v>73420</v>
      </c>
      <c r="F121" s="174">
        <f>'元データ表（積立金・補填金の差額）'!R122</f>
        <v>622.66666666666674</v>
      </c>
      <c r="G121" s="174">
        <f t="shared" si="3"/>
        <v>74042.666666666672</v>
      </c>
      <c r="H121" s="175">
        <f t="shared" si="4"/>
        <v>0.84808862253700179</v>
      </c>
      <c r="I121" s="176">
        <f t="shared" si="5"/>
        <v>101.41658890278363</v>
      </c>
    </row>
    <row r="122" spans="2:9" ht="12" hidden="1" customHeight="1">
      <c r="B122" s="280">
        <v>6</v>
      </c>
      <c r="C122" s="262" t="s">
        <v>161</v>
      </c>
      <c r="D122" s="415">
        <v>100.48842981824006</v>
      </c>
      <c r="E122" s="174">
        <v>73390</v>
      </c>
      <c r="F122" s="174">
        <f>'元データ表（積立金・補填金の差額）'!R123</f>
        <v>622.66666666666674</v>
      </c>
      <c r="G122" s="174">
        <f t="shared" si="3"/>
        <v>74012.666666666672</v>
      </c>
      <c r="H122" s="175">
        <f t="shared" si="4"/>
        <v>0.84843529999545819</v>
      </c>
      <c r="I122" s="176">
        <f t="shared" si="5"/>
        <v>101.33686511823552</v>
      </c>
    </row>
    <row r="123" spans="2:9" ht="12" hidden="1" customHeight="1">
      <c r="B123" s="280">
        <v>7</v>
      </c>
      <c r="C123" s="262" t="s">
        <v>162</v>
      </c>
      <c r="D123" s="415">
        <v>101.92969813435825</v>
      </c>
      <c r="E123" s="174">
        <v>74410</v>
      </c>
      <c r="F123" s="174">
        <f>'元データ表（積立金・補填金の差額）'!R124</f>
        <v>622.66666666666674</v>
      </c>
      <c r="G123" s="174">
        <f t="shared" si="3"/>
        <v>75032.666666666672</v>
      </c>
      <c r="H123" s="175">
        <f t="shared" si="4"/>
        <v>0.83680508892173999</v>
      </c>
      <c r="I123" s="176">
        <f t="shared" si="5"/>
        <v>102.76650322327998</v>
      </c>
    </row>
    <row r="124" spans="2:9" ht="12" hidden="1" customHeight="1">
      <c r="B124" s="280">
        <v>8</v>
      </c>
      <c r="C124" s="262" t="s">
        <v>163</v>
      </c>
      <c r="D124" s="415">
        <v>101.92969813435825</v>
      </c>
      <c r="E124" s="174">
        <v>74410</v>
      </c>
      <c r="F124" s="174">
        <f>'元データ表（積立金・補填金の差額）'!R125</f>
        <v>622.66666666666674</v>
      </c>
      <c r="G124" s="174">
        <f t="shared" si="3"/>
        <v>75032.666666666672</v>
      </c>
      <c r="H124" s="175">
        <f t="shared" si="4"/>
        <v>0.83680508892173999</v>
      </c>
      <c r="I124" s="176">
        <f t="shared" si="5"/>
        <v>102.76650322327998</v>
      </c>
    </row>
    <row r="125" spans="2:9" ht="12" hidden="1" customHeight="1">
      <c r="B125" s="280">
        <v>9</v>
      </c>
      <c r="C125" s="262" t="s">
        <v>164</v>
      </c>
      <c r="D125" s="415">
        <v>101.92969813435825</v>
      </c>
      <c r="E125" s="174">
        <v>74410</v>
      </c>
      <c r="F125" s="174">
        <f>'元データ表（積立金・補填金の差額）'!R126</f>
        <v>622.66666666666674</v>
      </c>
      <c r="G125" s="174">
        <f t="shared" si="3"/>
        <v>75032.666666666672</v>
      </c>
      <c r="H125" s="175">
        <f t="shared" si="4"/>
        <v>0.83680508892173999</v>
      </c>
      <c r="I125" s="176">
        <f t="shared" si="5"/>
        <v>102.76650322327998</v>
      </c>
    </row>
    <row r="126" spans="2:9" ht="12" hidden="1" customHeight="1">
      <c r="B126" s="280">
        <v>10</v>
      </c>
      <c r="C126" s="262" t="s">
        <v>165</v>
      </c>
      <c r="D126" s="415">
        <v>98.646809192089052</v>
      </c>
      <c r="E126" s="174">
        <v>72040</v>
      </c>
      <c r="F126" s="174">
        <f>'元データ表（積立金・補填金の差額）'!R127</f>
        <v>-177.33333333333337</v>
      </c>
      <c r="G126" s="174">
        <f t="shared" si="3"/>
        <v>71862.666666666672</v>
      </c>
      <c r="H126" s="175">
        <f t="shared" si="4"/>
        <v>-0.24615954099574316</v>
      </c>
      <c r="I126" s="176">
        <f t="shared" si="5"/>
        <v>98.400649651093303</v>
      </c>
    </row>
    <row r="127" spans="2:9" ht="12" hidden="1" customHeight="1">
      <c r="B127" s="280">
        <v>11</v>
      </c>
      <c r="C127" s="262" t="s">
        <v>166</v>
      </c>
      <c r="D127" s="415">
        <v>98.646809192089052</v>
      </c>
      <c r="E127" s="174">
        <v>72000</v>
      </c>
      <c r="F127" s="174">
        <f>'元データ表（積立金・補填金の差額）'!R128</f>
        <v>-177.33333333333337</v>
      </c>
      <c r="G127" s="174">
        <f t="shared" si="3"/>
        <v>71822.666666666672</v>
      </c>
      <c r="H127" s="175">
        <f t="shared" si="4"/>
        <v>-0.24629629629629637</v>
      </c>
      <c r="I127" s="176">
        <f t="shared" si="5"/>
        <v>98.400512895792758</v>
      </c>
    </row>
    <row r="128" spans="2:9" ht="12" hidden="1" customHeight="1">
      <c r="B128" s="339">
        <v>12</v>
      </c>
      <c r="C128" s="262" t="s">
        <v>167</v>
      </c>
      <c r="D128" s="416">
        <v>98.646809192089052</v>
      </c>
      <c r="E128" s="174">
        <v>72000</v>
      </c>
      <c r="F128" s="174">
        <f>'元データ表（積立金・補填金の差額）'!R129</f>
        <v>-177.33333333333337</v>
      </c>
      <c r="G128" s="174">
        <f t="shared" si="3"/>
        <v>71822.666666666672</v>
      </c>
      <c r="H128" s="175">
        <f t="shared" si="4"/>
        <v>-0.24629629629629637</v>
      </c>
      <c r="I128" s="176">
        <f t="shared" si="5"/>
        <v>98.400512895792758</v>
      </c>
    </row>
    <row r="129" spans="2:10" ht="12" hidden="1" customHeight="1">
      <c r="B129" s="332">
        <v>42005</v>
      </c>
      <c r="C129" s="340" t="s">
        <v>364</v>
      </c>
      <c r="D129" s="484">
        <v>102.6</v>
      </c>
      <c r="E129" s="485">
        <v>75010</v>
      </c>
      <c r="F129" s="334">
        <f>'元データ表（積立金・補填金の差額）'!R130</f>
        <v>-177.33333333333337</v>
      </c>
      <c r="G129" s="334">
        <f t="shared" si="3"/>
        <v>74832.666666666672</v>
      </c>
      <c r="H129" s="341">
        <f t="shared" ref="H129" si="6">F129/E129*100</f>
        <v>-0.23641292272141498</v>
      </c>
      <c r="I129" s="342">
        <f t="shared" ref="I129" si="7">D129+H129</f>
        <v>102.36358707727858</v>
      </c>
    </row>
    <row r="130" spans="2:10" ht="12" hidden="1" customHeight="1">
      <c r="B130" s="280">
        <v>2</v>
      </c>
      <c r="C130" s="262" t="s">
        <v>349</v>
      </c>
      <c r="D130" s="415">
        <v>102.8</v>
      </c>
      <c r="E130" s="486">
        <v>75090</v>
      </c>
      <c r="F130" s="174">
        <f>'元データ表（積立金・補填金の差額）'!R131</f>
        <v>-177.33333333333337</v>
      </c>
      <c r="G130" s="174">
        <f t="shared" si="3"/>
        <v>74912.666666666672</v>
      </c>
      <c r="H130" s="175">
        <f t="shared" ref="H130:H141" si="8">F130/E130*100</f>
        <v>-0.23616105118302488</v>
      </c>
      <c r="I130" s="176">
        <f t="shared" ref="I130:I141" si="9">D130+H130</f>
        <v>102.56383894881698</v>
      </c>
    </row>
    <row r="131" spans="2:10" ht="12" hidden="1" customHeight="1">
      <c r="B131" s="280">
        <v>3</v>
      </c>
      <c r="C131" s="262" t="s">
        <v>168</v>
      </c>
      <c r="D131" s="415">
        <v>102.5</v>
      </c>
      <c r="E131" s="486">
        <v>74890</v>
      </c>
      <c r="F131" s="174">
        <f>'元データ表（積立金・補填金の差額）'!R132</f>
        <v>-177.33333333333337</v>
      </c>
      <c r="G131" s="174">
        <f t="shared" ref="G131:G143" si="10">E131+F131</f>
        <v>74712.666666666672</v>
      </c>
      <c r="H131" s="175">
        <f t="shared" si="8"/>
        <v>-0.23679173899497047</v>
      </c>
      <c r="I131" s="176">
        <f t="shared" si="9"/>
        <v>102.26320826100503</v>
      </c>
    </row>
    <row r="132" spans="2:10" ht="12" hidden="1" customHeight="1">
      <c r="B132" s="280">
        <v>4</v>
      </c>
      <c r="C132" s="262" t="s">
        <v>169</v>
      </c>
      <c r="D132" s="415">
        <v>100.6</v>
      </c>
      <c r="E132" s="486">
        <v>73510</v>
      </c>
      <c r="F132" s="174">
        <f>'元データ表（積立金・補填金の差額）'!R133</f>
        <v>622.66666666666674</v>
      </c>
      <c r="G132" s="174">
        <f t="shared" si="10"/>
        <v>74132.666666666672</v>
      </c>
      <c r="H132" s="175">
        <f t="shared" si="8"/>
        <v>0.84705028794268367</v>
      </c>
      <c r="I132" s="176">
        <f t="shared" si="9"/>
        <v>101.44705028794267</v>
      </c>
    </row>
    <row r="133" spans="2:10" ht="12" hidden="1" customHeight="1">
      <c r="B133" s="280">
        <v>5</v>
      </c>
      <c r="C133" s="262" t="s">
        <v>160</v>
      </c>
      <c r="D133" s="415">
        <v>100.6</v>
      </c>
      <c r="E133" s="486">
        <v>73480</v>
      </c>
      <c r="F133" s="174">
        <f>'元データ表（積立金・補填金の差額）'!R134</f>
        <v>622.66666666666674</v>
      </c>
      <c r="G133" s="174">
        <f t="shared" si="10"/>
        <v>74102.666666666672</v>
      </c>
      <c r="H133" s="175">
        <f t="shared" si="8"/>
        <v>0.84739611685719485</v>
      </c>
      <c r="I133" s="176">
        <f t="shared" si="9"/>
        <v>101.44739611685719</v>
      </c>
    </row>
    <row r="134" spans="2:10" s="313" customFormat="1" ht="12" hidden="1" customHeight="1">
      <c r="B134" s="280">
        <v>6</v>
      </c>
      <c r="C134" s="262" t="s">
        <v>161</v>
      </c>
      <c r="D134" s="415">
        <v>100.6</v>
      </c>
      <c r="E134" s="486">
        <v>73480</v>
      </c>
      <c r="F134" s="174">
        <f>'元データ表（積立金・補填金の差額）'!R135</f>
        <v>622.66666666666674</v>
      </c>
      <c r="G134" s="174">
        <f t="shared" si="10"/>
        <v>74102.666666666672</v>
      </c>
      <c r="H134" s="175">
        <f t="shared" si="8"/>
        <v>0.84739611685719485</v>
      </c>
      <c r="I134" s="176">
        <f t="shared" si="9"/>
        <v>101.44739611685719</v>
      </c>
    </row>
    <row r="135" spans="2:10" s="313" customFormat="1" ht="12" hidden="1" customHeight="1">
      <c r="B135" s="280">
        <v>7</v>
      </c>
      <c r="C135" s="262" t="s">
        <v>162</v>
      </c>
      <c r="D135" s="415">
        <v>98.5</v>
      </c>
      <c r="E135" s="486">
        <v>71960</v>
      </c>
      <c r="F135" s="174">
        <f>'元データ表（積立金・補填金の差額）'!R136</f>
        <v>622.66666666666674</v>
      </c>
      <c r="G135" s="174">
        <f t="shared" si="10"/>
        <v>72582.666666666672</v>
      </c>
      <c r="H135" s="175">
        <f t="shared" si="8"/>
        <v>0.86529553455623498</v>
      </c>
      <c r="I135" s="176">
        <f t="shared" si="9"/>
        <v>99.365295534556239</v>
      </c>
    </row>
    <row r="136" spans="2:10" ht="12" hidden="1" customHeight="1">
      <c r="B136" s="280">
        <v>8</v>
      </c>
      <c r="C136" s="262" t="s">
        <v>163</v>
      </c>
      <c r="D136" s="415">
        <v>98.5</v>
      </c>
      <c r="E136" s="486">
        <v>71950</v>
      </c>
      <c r="F136" s="174">
        <f>'元データ表（積立金・補填金の差額）'!R137</f>
        <v>622.66666666666674</v>
      </c>
      <c r="G136" s="174">
        <f t="shared" si="10"/>
        <v>72572.666666666672</v>
      </c>
      <c r="H136" s="175">
        <f t="shared" si="8"/>
        <v>0.86541579800787582</v>
      </c>
      <c r="I136" s="176">
        <f t="shared" si="9"/>
        <v>99.365415798007874</v>
      </c>
    </row>
    <row r="137" spans="2:10" ht="12" hidden="1" customHeight="1">
      <c r="B137" s="280">
        <v>9</v>
      </c>
      <c r="C137" s="262" t="s">
        <v>164</v>
      </c>
      <c r="D137" s="415">
        <v>98.5</v>
      </c>
      <c r="E137" s="486">
        <v>71950</v>
      </c>
      <c r="F137" s="174">
        <f>'元データ表（積立金・補填金の差額）'!R138</f>
        <v>622.66666666666674</v>
      </c>
      <c r="G137" s="174">
        <f t="shared" si="10"/>
        <v>72572.666666666672</v>
      </c>
      <c r="H137" s="175">
        <f t="shared" si="8"/>
        <v>0.86541579800787582</v>
      </c>
      <c r="I137" s="176">
        <f t="shared" si="9"/>
        <v>99.365415798007874</v>
      </c>
      <c r="J137" s="313"/>
    </row>
    <row r="138" spans="2:10" ht="12" hidden="1" customHeight="1">
      <c r="B138" s="280">
        <v>10</v>
      </c>
      <c r="C138" s="262" t="s">
        <v>165</v>
      </c>
      <c r="D138" s="415">
        <v>98.4</v>
      </c>
      <c r="E138" s="486">
        <v>71870</v>
      </c>
      <c r="F138" s="174">
        <f>'元データ表（積立金・補填金の差額）'!R139</f>
        <v>622.66666666666674</v>
      </c>
      <c r="G138" s="174">
        <f>E138+F138</f>
        <v>72492.666666666672</v>
      </c>
      <c r="H138" s="175">
        <f t="shared" ref="H138" si="11">F138/E138*100</f>
        <v>0.86637911043087068</v>
      </c>
      <c r="I138" s="176">
        <f t="shared" ref="I138" si="12">D138+H138</f>
        <v>99.266379110430876</v>
      </c>
    </row>
    <row r="139" spans="2:10" ht="12" hidden="1" customHeight="1">
      <c r="B139" s="280">
        <v>11</v>
      </c>
      <c r="C139" s="262" t="s">
        <v>166</v>
      </c>
      <c r="D139" s="415">
        <v>98.3</v>
      </c>
      <c r="E139" s="486">
        <v>71850</v>
      </c>
      <c r="F139" s="174">
        <f>'元データ表（積立金・補填金の差額）'!R140</f>
        <v>622.66666666666674</v>
      </c>
      <c r="G139" s="174">
        <f>E139+F139</f>
        <v>72472.666666666672</v>
      </c>
      <c r="H139" s="175">
        <f t="shared" ref="H139" si="13">F139/E139*100</f>
        <v>0.8666202737183949</v>
      </c>
      <c r="I139" s="176">
        <f t="shared" ref="I139" si="14">D139+H139</f>
        <v>99.166620273718394</v>
      </c>
    </row>
    <row r="140" spans="2:10" ht="12" hidden="1" customHeight="1">
      <c r="B140" s="276">
        <v>12</v>
      </c>
      <c r="C140" s="263" t="s">
        <v>167</v>
      </c>
      <c r="D140" s="418">
        <v>98.3</v>
      </c>
      <c r="E140" s="487">
        <v>71860</v>
      </c>
      <c r="F140" s="181">
        <f>'元データ表（積立金・補填金の差額）'!R141</f>
        <v>622.66666666666674</v>
      </c>
      <c r="G140" s="181">
        <f t="shared" si="10"/>
        <v>72482.666666666672</v>
      </c>
      <c r="H140" s="182">
        <f t="shared" si="8"/>
        <v>0.86649967529455441</v>
      </c>
      <c r="I140" s="183">
        <f t="shared" si="9"/>
        <v>99.166499675294546</v>
      </c>
    </row>
    <row r="141" spans="2:10" ht="12" hidden="1" customHeight="1">
      <c r="B141" s="391">
        <v>42370</v>
      </c>
      <c r="C141" s="262" t="s">
        <v>375</v>
      </c>
      <c r="D141" s="415">
        <v>97.5</v>
      </c>
      <c r="E141" s="486">
        <v>70940</v>
      </c>
      <c r="F141" s="174">
        <f>'元データ表（積立金・補填金の差額）'!R142</f>
        <v>622.66666666666674</v>
      </c>
      <c r="G141" s="174">
        <f t="shared" si="10"/>
        <v>71562.666666666672</v>
      </c>
      <c r="H141" s="175">
        <f t="shared" si="8"/>
        <v>0.87773705478808395</v>
      </c>
      <c r="I141" s="176">
        <f t="shared" si="9"/>
        <v>98.377737054788085</v>
      </c>
    </row>
    <row r="142" spans="2:10" ht="12" hidden="1" customHeight="1">
      <c r="B142" s="280">
        <v>2</v>
      </c>
      <c r="C142" s="262" t="s">
        <v>349</v>
      </c>
      <c r="D142" s="415">
        <v>97.5</v>
      </c>
      <c r="E142" s="486">
        <v>70940</v>
      </c>
      <c r="F142" s="174">
        <f>'元データ表（積立金・補填金の差額）'!R143</f>
        <v>622.66666666666674</v>
      </c>
      <c r="G142" s="174">
        <f t="shared" si="10"/>
        <v>71562.666666666672</v>
      </c>
      <c r="H142" s="175">
        <f t="shared" ref="H142:H153" si="15">F142/E142*100</f>
        <v>0.87773705478808395</v>
      </c>
      <c r="I142" s="176">
        <f t="shared" ref="I142:I153" si="16">D142+H142</f>
        <v>98.377737054788085</v>
      </c>
    </row>
    <row r="143" spans="2:10" ht="12" hidden="1" customHeight="1">
      <c r="B143" s="280">
        <v>3</v>
      </c>
      <c r="C143" s="262" t="s">
        <v>168</v>
      </c>
      <c r="D143" s="415">
        <v>97.3</v>
      </c>
      <c r="E143" s="486">
        <v>70740</v>
      </c>
      <c r="F143" s="174">
        <f>'元データ表（積立金・補填金の差額）'!R144</f>
        <v>622.66666666666674</v>
      </c>
      <c r="G143" s="174">
        <f t="shared" si="10"/>
        <v>71362.666666666672</v>
      </c>
      <c r="H143" s="175">
        <f t="shared" ref="H143" si="17">F143/E143*100</f>
        <v>0.88021864103289049</v>
      </c>
      <c r="I143" s="176">
        <f t="shared" ref="I143" si="18">D143+H143</f>
        <v>98.180218641032894</v>
      </c>
    </row>
    <row r="144" spans="2:10" ht="12" hidden="1" customHeight="1">
      <c r="B144" s="280">
        <v>4</v>
      </c>
      <c r="C144" s="262" t="s">
        <v>169</v>
      </c>
      <c r="D144" s="415">
        <v>92.8</v>
      </c>
      <c r="E144" s="486">
        <v>67450</v>
      </c>
      <c r="F144" s="174">
        <f>'元データ表（積立金・補填金の差額）'!R145</f>
        <v>622.66666666666674</v>
      </c>
      <c r="G144" s="174">
        <f t="shared" ref="G144:G149" si="19">E144+F144</f>
        <v>68072.666666666672</v>
      </c>
      <c r="H144" s="175">
        <f t="shared" si="15"/>
        <v>0.92315295280454668</v>
      </c>
      <c r="I144" s="176">
        <f t="shared" si="16"/>
        <v>93.72315295280454</v>
      </c>
      <c r="J144" s="313"/>
    </row>
    <row r="145" spans="2:10" s="313" customFormat="1" ht="12" hidden="1" customHeight="1">
      <c r="B145" s="280">
        <v>5</v>
      </c>
      <c r="C145" s="262" t="s">
        <v>160</v>
      </c>
      <c r="D145" s="415">
        <v>92.7</v>
      </c>
      <c r="E145" s="486">
        <v>67390</v>
      </c>
      <c r="F145" s="174">
        <f>'元データ表（積立金・補填金の差額）'!R146</f>
        <v>622.66666666666674</v>
      </c>
      <c r="G145" s="174">
        <f t="shared" si="19"/>
        <v>68012.666666666672</v>
      </c>
      <c r="H145" s="175">
        <f t="shared" si="15"/>
        <v>0.92397487263194356</v>
      </c>
      <c r="I145" s="176">
        <f t="shared" si="16"/>
        <v>93.623974872631948</v>
      </c>
    </row>
    <row r="146" spans="2:10" s="313" customFormat="1" ht="12" hidden="1" customHeight="1">
      <c r="B146" s="280">
        <v>6</v>
      </c>
      <c r="C146" s="262" t="s">
        <v>161</v>
      </c>
      <c r="D146" s="415">
        <v>92.7</v>
      </c>
      <c r="E146" s="486">
        <v>67390</v>
      </c>
      <c r="F146" s="174">
        <f>'元データ表（積立金・補填金の差額）'!R147</f>
        <v>622.66666666666674</v>
      </c>
      <c r="G146" s="174">
        <f t="shared" si="19"/>
        <v>68012.666666666672</v>
      </c>
      <c r="H146" s="175">
        <f t="shared" si="15"/>
        <v>0.92397487263194356</v>
      </c>
      <c r="I146" s="176">
        <f t="shared" si="16"/>
        <v>93.623974872631948</v>
      </c>
    </row>
    <row r="147" spans="2:10" s="313" customFormat="1" ht="12" hidden="1" customHeight="1">
      <c r="B147" s="280">
        <v>7</v>
      </c>
      <c r="C147" s="262" t="s">
        <v>162</v>
      </c>
      <c r="D147" s="415">
        <v>94.2</v>
      </c>
      <c r="E147" s="486">
        <v>68500</v>
      </c>
      <c r="F147" s="174">
        <f>'元データ表（積立金・補填金の差額）'!R148</f>
        <v>622.66666666666674</v>
      </c>
      <c r="G147" s="174">
        <f t="shared" si="19"/>
        <v>69122.666666666672</v>
      </c>
      <c r="H147" s="175">
        <f t="shared" si="15"/>
        <v>0.90900243309002449</v>
      </c>
      <c r="I147" s="176">
        <f t="shared" si="16"/>
        <v>95.109002433090026</v>
      </c>
    </row>
    <row r="148" spans="2:10" ht="12" hidden="1" customHeight="1">
      <c r="B148" s="280">
        <v>8</v>
      </c>
      <c r="C148" s="262" t="s">
        <v>163</v>
      </c>
      <c r="D148" s="415">
        <v>94.2</v>
      </c>
      <c r="E148" s="486">
        <v>68510</v>
      </c>
      <c r="F148" s="174">
        <f>'元データ表（積立金・補填金の差額）'!R149</f>
        <v>622.66666666666674</v>
      </c>
      <c r="G148" s="174">
        <f t="shared" si="19"/>
        <v>69132.666666666672</v>
      </c>
      <c r="H148" s="175">
        <f t="shared" si="15"/>
        <v>0.90886975137449522</v>
      </c>
      <c r="I148" s="176">
        <f t="shared" si="16"/>
        <v>95.108869751374499</v>
      </c>
      <c r="J148" s="313"/>
    </row>
    <row r="149" spans="2:10" ht="12" hidden="1" customHeight="1">
      <c r="B149" s="280">
        <v>9</v>
      </c>
      <c r="C149" s="262" t="s">
        <v>164</v>
      </c>
      <c r="D149" s="415">
        <v>94.2</v>
      </c>
      <c r="E149" s="486">
        <v>68500</v>
      </c>
      <c r="F149" s="174">
        <f>'元データ表（積立金・補填金の差額）'!R150</f>
        <v>622.66666666666674</v>
      </c>
      <c r="G149" s="174">
        <f t="shared" si="19"/>
        <v>69122.666666666672</v>
      </c>
      <c r="H149" s="175">
        <f t="shared" si="15"/>
        <v>0.90900243309002449</v>
      </c>
      <c r="I149" s="176">
        <f t="shared" si="16"/>
        <v>95.109002433090026</v>
      </c>
      <c r="J149" s="313"/>
    </row>
    <row r="150" spans="2:10" s="313" customFormat="1" ht="12" hidden="1" customHeight="1">
      <c r="B150" s="280">
        <v>10</v>
      </c>
      <c r="C150" s="262" t="s">
        <v>165</v>
      </c>
      <c r="D150" s="415">
        <v>92.5</v>
      </c>
      <c r="E150" s="486">
        <v>67300</v>
      </c>
      <c r="F150" s="174">
        <f>'元データ表（積立金・補填金の差額）'!R151</f>
        <v>622.66666666666674</v>
      </c>
      <c r="G150" s="174">
        <f>E150+F150</f>
        <v>67922.666666666672</v>
      </c>
      <c r="H150" s="175">
        <f t="shared" si="15"/>
        <v>0.92521050024764739</v>
      </c>
      <c r="I150" s="176">
        <f t="shared" si="16"/>
        <v>93.425210500247644</v>
      </c>
    </row>
    <row r="151" spans="2:10" s="313" customFormat="1" ht="12" hidden="1" customHeight="1">
      <c r="B151" s="280">
        <v>11</v>
      </c>
      <c r="C151" s="262" t="s">
        <v>166</v>
      </c>
      <c r="D151" s="415">
        <v>92.7</v>
      </c>
      <c r="E151" s="486">
        <v>67400</v>
      </c>
      <c r="F151" s="174">
        <f>'元データ表（積立金・補填金の差額）'!R152</f>
        <v>622.66666666666674</v>
      </c>
      <c r="G151" s="174">
        <f>E151+F151</f>
        <v>68022.666666666672</v>
      </c>
      <c r="H151" s="175">
        <f t="shared" si="15"/>
        <v>0.92383778437190922</v>
      </c>
      <c r="I151" s="176">
        <f t="shared" si="16"/>
        <v>93.623837784371915</v>
      </c>
    </row>
    <row r="152" spans="2:10" ht="12" hidden="1" customHeight="1">
      <c r="B152" s="398">
        <v>12</v>
      </c>
      <c r="C152" s="263" t="s">
        <v>167</v>
      </c>
      <c r="D152" s="488">
        <v>92.7</v>
      </c>
      <c r="E152" s="487">
        <v>67440</v>
      </c>
      <c r="F152" s="181">
        <f>'元データ表（積立金・補填金の差額）'!R153</f>
        <v>622.66666666666674</v>
      </c>
      <c r="G152" s="181">
        <f t="shared" ref="G152:G161" si="20">E152+F152</f>
        <v>68062.666666666672</v>
      </c>
      <c r="H152" s="182">
        <f t="shared" si="15"/>
        <v>0.92328983788058527</v>
      </c>
      <c r="I152" s="183">
        <f t="shared" si="16"/>
        <v>93.623289837880591</v>
      </c>
    </row>
    <row r="153" spans="2:10" ht="12" hidden="1" customHeight="1">
      <c r="B153" s="391">
        <v>42736</v>
      </c>
      <c r="C153" s="262" t="s">
        <v>378</v>
      </c>
      <c r="D153" s="415">
        <v>94.8</v>
      </c>
      <c r="E153" s="486">
        <v>67630</v>
      </c>
      <c r="F153" s="177">
        <f>'元データ表（積立金・補填金の差額）'!R154</f>
        <v>-344</v>
      </c>
      <c r="G153" s="174">
        <f t="shared" si="20"/>
        <v>67286</v>
      </c>
      <c r="H153" s="175">
        <f t="shared" si="15"/>
        <v>-0.50865000739316868</v>
      </c>
      <c r="I153" s="176">
        <f t="shared" si="16"/>
        <v>94.291349992606825</v>
      </c>
    </row>
    <row r="154" spans="2:10" s="313" customFormat="1" ht="12" hidden="1" customHeight="1">
      <c r="B154" s="280">
        <v>2</v>
      </c>
      <c r="C154" s="262" t="s">
        <v>306</v>
      </c>
      <c r="D154" s="415">
        <v>94.9</v>
      </c>
      <c r="E154" s="486">
        <v>67690</v>
      </c>
      <c r="F154" s="174">
        <f>'元データ表（積立金・補填金の差額）'!R155</f>
        <v>-344</v>
      </c>
      <c r="G154" s="174">
        <f t="shared" si="20"/>
        <v>67346</v>
      </c>
      <c r="H154" s="175">
        <f t="shared" ref="H154:H165" si="21">F154/E154*100</f>
        <v>-0.5081991431526075</v>
      </c>
      <c r="I154" s="176">
        <f t="shared" ref="I154:I164" si="22">D154+H154</f>
        <v>94.391800856847397</v>
      </c>
    </row>
    <row r="155" spans="2:10" ht="12" hidden="1" customHeight="1">
      <c r="B155" s="280">
        <v>3</v>
      </c>
      <c r="C155" s="262" t="s">
        <v>168</v>
      </c>
      <c r="D155" s="415">
        <v>94.9</v>
      </c>
      <c r="E155" s="486">
        <v>67700</v>
      </c>
      <c r="F155" s="174">
        <f>'元データ表（積立金・補填金の差額）'!R156</f>
        <v>-344</v>
      </c>
      <c r="G155" s="174">
        <f t="shared" si="20"/>
        <v>67356</v>
      </c>
      <c r="H155" s="175">
        <f t="shared" si="21"/>
        <v>-0.50812407680945348</v>
      </c>
      <c r="I155" s="176">
        <f t="shared" si="22"/>
        <v>94.391875923190554</v>
      </c>
    </row>
    <row r="156" spans="2:10" s="313" customFormat="1" ht="11.25" hidden="1" customHeight="1">
      <c r="B156" s="280">
        <v>4</v>
      </c>
      <c r="C156" s="262" t="s">
        <v>169</v>
      </c>
      <c r="D156" s="415">
        <v>95.9</v>
      </c>
      <c r="E156" s="486">
        <v>68400</v>
      </c>
      <c r="F156" s="174">
        <f>'元データ表（積立金・補填金の差額）'!R157</f>
        <v>-1094.0000000000002</v>
      </c>
      <c r="G156" s="174">
        <f t="shared" si="20"/>
        <v>67306</v>
      </c>
      <c r="H156" s="175">
        <f t="shared" si="21"/>
        <v>-1.599415204678363</v>
      </c>
      <c r="I156" s="176">
        <f t="shared" si="22"/>
        <v>94.30058479532164</v>
      </c>
    </row>
    <row r="157" spans="2:10" s="313" customFormat="1" ht="12" hidden="1" customHeight="1">
      <c r="B157" s="280">
        <v>5</v>
      </c>
      <c r="C157" s="262" t="s">
        <v>160</v>
      </c>
      <c r="D157" s="415">
        <v>95.8</v>
      </c>
      <c r="E157" s="486">
        <v>68380</v>
      </c>
      <c r="F157" s="174">
        <f>'元データ表（積立金・補填金の差額）'!R158</f>
        <v>-1094.0000000000002</v>
      </c>
      <c r="G157" s="174">
        <f t="shared" si="20"/>
        <v>67286</v>
      </c>
      <c r="H157" s="175">
        <f t="shared" si="21"/>
        <v>-1.5998830067271135</v>
      </c>
      <c r="I157" s="176">
        <f t="shared" si="22"/>
        <v>94.200116993272886</v>
      </c>
    </row>
    <row r="158" spans="2:10" s="313" customFormat="1" ht="12" hidden="1" customHeight="1">
      <c r="B158" s="280">
        <v>6</v>
      </c>
      <c r="C158" s="262" t="s">
        <v>161</v>
      </c>
      <c r="D158" s="415">
        <v>95.9</v>
      </c>
      <c r="E158" s="486">
        <v>68440</v>
      </c>
      <c r="F158" s="174">
        <f>'元データ表（積立金・補填金の差額）'!R159</f>
        <v>-1094.0000000000002</v>
      </c>
      <c r="G158" s="174">
        <f t="shared" si="20"/>
        <v>67346</v>
      </c>
      <c r="H158" s="175">
        <f t="shared" si="21"/>
        <v>-1.5984804208065462</v>
      </c>
      <c r="I158" s="176">
        <f t="shared" si="22"/>
        <v>94.301519579193453</v>
      </c>
    </row>
    <row r="159" spans="2:10" s="313" customFormat="1" ht="12" hidden="1" customHeight="1">
      <c r="B159" s="280">
        <v>7</v>
      </c>
      <c r="C159" s="262" t="s">
        <v>162</v>
      </c>
      <c r="D159" s="415">
        <v>94.8</v>
      </c>
      <c r="E159" s="486">
        <v>67630</v>
      </c>
      <c r="F159" s="174">
        <f>'元データ表（積立金・補填金の差額）'!R160</f>
        <v>206</v>
      </c>
      <c r="G159" s="174">
        <f t="shared" si="20"/>
        <v>67836</v>
      </c>
      <c r="H159" s="175">
        <f t="shared" si="21"/>
        <v>0.30459855093893246</v>
      </c>
      <c r="I159" s="176">
        <f t="shared" si="22"/>
        <v>95.104598550938931</v>
      </c>
    </row>
    <row r="160" spans="2:10" ht="12" hidden="1" customHeight="1">
      <c r="B160" s="280">
        <v>8</v>
      </c>
      <c r="C160" s="262" t="s">
        <v>163</v>
      </c>
      <c r="D160" s="415">
        <v>94.5</v>
      </c>
      <c r="E160" s="486">
        <v>67420</v>
      </c>
      <c r="F160" s="174">
        <f>'元データ表（積立金・補填金の差額）'!R161</f>
        <v>206</v>
      </c>
      <c r="G160" s="174">
        <f t="shared" si="20"/>
        <v>67626</v>
      </c>
      <c r="H160" s="175">
        <f t="shared" si="21"/>
        <v>0.30554731533669538</v>
      </c>
      <c r="I160" s="176">
        <f t="shared" si="22"/>
        <v>94.805547315336696</v>
      </c>
      <c r="J160" s="313"/>
    </row>
    <row r="161" spans="2:10" ht="12" hidden="1" customHeight="1">
      <c r="B161" s="280">
        <v>9</v>
      </c>
      <c r="C161" s="262" t="s">
        <v>164</v>
      </c>
      <c r="D161" s="415">
        <v>94.4</v>
      </c>
      <c r="E161" s="486">
        <v>67370</v>
      </c>
      <c r="F161" s="174">
        <f>'元データ表（積立金・補填金の差額）'!R162</f>
        <v>206</v>
      </c>
      <c r="G161" s="174">
        <f t="shared" si="20"/>
        <v>67576</v>
      </c>
      <c r="H161" s="175">
        <f t="shared" si="21"/>
        <v>0.30577408341991985</v>
      </c>
      <c r="I161" s="176">
        <f t="shared" si="22"/>
        <v>94.705774083419925</v>
      </c>
      <c r="J161" s="313"/>
    </row>
    <row r="162" spans="2:10" s="313" customFormat="1" ht="12" hidden="1" customHeight="1">
      <c r="B162" s="280">
        <v>10</v>
      </c>
      <c r="C162" s="262" t="s">
        <v>165</v>
      </c>
      <c r="D162" s="415">
        <v>94</v>
      </c>
      <c r="E162" s="486">
        <v>67060</v>
      </c>
      <c r="F162" s="174">
        <f>'元データ表（積立金・補填金の差額）'!R163</f>
        <v>606</v>
      </c>
      <c r="G162" s="174">
        <f>E162+F162</f>
        <v>67666</v>
      </c>
      <c r="H162" s="175">
        <f t="shared" si="21"/>
        <v>0.90366835669549661</v>
      </c>
      <c r="I162" s="176">
        <f t="shared" si="22"/>
        <v>94.903668356695491</v>
      </c>
    </row>
    <row r="163" spans="2:10" s="313" customFormat="1" ht="12" hidden="1" customHeight="1">
      <c r="B163" s="280">
        <v>11</v>
      </c>
      <c r="C163" s="262" t="s">
        <v>166</v>
      </c>
      <c r="D163" s="415">
        <v>94.1</v>
      </c>
      <c r="E163" s="489">
        <v>67170</v>
      </c>
      <c r="F163" s="174">
        <f>'元データ表（積立金・補填金の差額）'!R164</f>
        <v>606</v>
      </c>
      <c r="G163" s="437">
        <f>E163+F163</f>
        <v>67776</v>
      </c>
      <c r="H163" s="382">
        <f t="shared" si="21"/>
        <v>0.90218847699866012</v>
      </c>
      <c r="I163" s="438">
        <f t="shared" si="22"/>
        <v>95.002188476998654</v>
      </c>
    </row>
    <row r="164" spans="2:10" ht="12" hidden="1" customHeight="1">
      <c r="B164" s="339">
        <v>12</v>
      </c>
      <c r="C164" s="262" t="s">
        <v>167</v>
      </c>
      <c r="D164" s="416">
        <v>94.1</v>
      </c>
      <c r="E164" s="486">
        <v>67170</v>
      </c>
      <c r="F164" s="181">
        <f>'元データ表（積立金・補填金の差額）'!R165</f>
        <v>606</v>
      </c>
      <c r="G164" s="174">
        <f t="shared" ref="G164:G200" si="23">E164+F164</f>
        <v>67776</v>
      </c>
      <c r="H164" s="175">
        <f t="shared" si="21"/>
        <v>0.90218847699866012</v>
      </c>
      <c r="I164" s="176">
        <f t="shared" si="22"/>
        <v>95.002188476998654</v>
      </c>
    </row>
    <row r="165" spans="2:10" ht="12" hidden="1" customHeight="1">
      <c r="B165" s="275">
        <v>43101</v>
      </c>
      <c r="C165" s="264" t="s">
        <v>387</v>
      </c>
      <c r="D165" s="453">
        <v>96.6</v>
      </c>
      <c r="E165" s="177">
        <v>68910</v>
      </c>
      <c r="F165" s="177">
        <f>'元データ表（積立金・補填金の差額）'!R166</f>
        <v>606</v>
      </c>
      <c r="G165" s="177">
        <f t="shared" si="23"/>
        <v>69516</v>
      </c>
      <c r="H165" s="178">
        <f t="shared" si="21"/>
        <v>0.87940792337831952</v>
      </c>
      <c r="I165" s="179">
        <f>D165+H165</f>
        <v>97.479407923378318</v>
      </c>
    </row>
    <row r="166" spans="2:10" ht="12" hidden="1" customHeight="1">
      <c r="B166" s="274">
        <v>2</v>
      </c>
      <c r="C166" s="262" t="s">
        <v>306</v>
      </c>
      <c r="D166" s="173">
        <v>96.5</v>
      </c>
      <c r="E166" s="174">
        <v>68810</v>
      </c>
      <c r="F166" s="174">
        <f>'元データ表（積立金・補填金の差額）'!R167</f>
        <v>606</v>
      </c>
      <c r="G166" s="174">
        <f t="shared" si="23"/>
        <v>69416</v>
      </c>
      <c r="H166" s="175">
        <f t="shared" ref="H166:H173" si="24">F166/E166*100</f>
        <v>0.88068594681005674</v>
      </c>
      <c r="I166" s="176">
        <f t="shared" ref="I166:I173" si="25">D166+H166</f>
        <v>97.380685946810061</v>
      </c>
    </row>
    <row r="167" spans="2:10" ht="12" hidden="1" customHeight="1">
      <c r="B167" s="274">
        <v>3</v>
      </c>
      <c r="C167" s="262" t="s">
        <v>168</v>
      </c>
      <c r="D167" s="173">
        <v>96.5</v>
      </c>
      <c r="E167" s="174">
        <v>68840</v>
      </c>
      <c r="F167" s="174">
        <f>'元データ表（積立金・補填金の差額）'!R168</f>
        <v>606</v>
      </c>
      <c r="G167" s="174">
        <f t="shared" si="23"/>
        <v>69446</v>
      </c>
      <c r="H167" s="175">
        <f t="shared" si="24"/>
        <v>0.88030214991284139</v>
      </c>
      <c r="I167" s="176">
        <f t="shared" si="25"/>
        <v>97.380302149912836</v>
      </c>
    </row>
    <row r="168" spans="2:10" ht="12" hidden="1" customHeight="1">
      <c r="B168" s="274">
        <v>4</v>
      </c>
      <c r="C168" s="262" t="s">
        <v>169</v>
      </c>
      <c r="D168" s="173">
        <v>98.2</v>
      </c>
      <c r="E168" s="174">
        <v>70060</v>
      </c>
      <c r="F168" s="174">
        <f>'元データ表（積立金・補填金の差額）'!R169</f>
        <v>306</v>
      </c>
      <c r="G168" s="174">
        <f t="shared" si="23"/>
        <v>70366</v>
      </c>
      <c r="H168" s="175">
        <f t="shared" si="24"/>
        <v>0.43676848415643732</v>
      </c>
      <c r="I168" s="176">
        <f t="shared" si="25"/>
        <v>98.636768484156434</v>
      </c>
    </row>
    <row r="169" spans="2:10" ht="12" hidden="1" customHeight="1">
      <c r="B169" s="274">
        <v>5</v>
      </c>
      <c r="C169" s="262" t="s">
        <v>160</v>
      </c>
      <c r="D169" s="173">
        <v>98.2</v>
      </c>
      <c r="E169" s="174">
        <v>70060</v>
      </c>
      <c r="F169" s="174">
        <f>'元データ表（積立金・補填金の差額）'!R170</f>
        <v>306</v>
      </c>
      <c r="G169" s="174">
        <f t="shared" si="23"/>
        <v>70366</v>
      </c>
      <c r="H169" s="175">
        <f t="shared" si="24"/>
        <v>0.43676848415643732</v>
      </c>
      <c r="I169" s="176">
        <f t="shared" si="25"/>
        <v>98.636768484156434</v>
      </c>
    </row>
    <row r="170" spans="2:10" s="313" customFormat="1" ht="12" hidden="1" customHeight="1">
      <c r="B170" s="274">
        <v>6</v>
      </c>
      <c r="C170" s="262" t="s">
        <v>161</v>
      </c>
      <c r="D170" s="173">
        <v>98.3</v>
      </c>
      <c r="E170" s="174">
        <v>70110</v>
      </c>
      <c r="F170" s="174">
        <f>'元データ表（積立金・補填金の差額）'!R171</f>
        <v>306</v>
      </c>
      <c r="G170" s="174">
        <f t="shared" si="23"/>
        <v>70416</v>
      </c>
      <c r="H170" s="175">
        <f t="shared" si="24"/>
        <v>0.43645699614890887</v>
      </c>
      <c r="I170" s="176">
        <f t="shared" si="25"/>
        <v>98.736456996148902</v>
      </c>
    </row>
    <row r="171" spans="2:10" s="313" customFormat="1" ht="12" hidden="1" customHeight="1">
      <c r="B171" s="274">
        <v>7</v>
      </c>
      <c r="C171" s="262" t="s">
        <v>162</v>
      </c>
      <c r="D171" s="173">
        <v>100</v>
      </c>
      <c r="E171" s="174">
        <v>71340</v>
      </c>
      <c r="F171" s="174">
        <f>'元データ表（積立金・補填金の差額）'!R172</f>
        <v>-2844</v>
      </c>
      <c r="G171" s="174">
        <f t="shared" si="23"/>
        <v>68496</v>
      </c>
      <c r="H171" s="175">
        <f t="shared" si="24"/>
        <v>-3.9865433137089989</v>
      </c>
      <c r="I171" s="176">
        <f t="shared" si="25"/>
        <v>96.013456686291008</v>
      </c>
    </row>
    <row r="172" spans="2:10" ht="12" hidden="1" customHeight="1">
      <c r="B172" s="274">
        <v>8</v>
      </c>
      <c r="C172" s="262" t="s">
        <v>163</v>
      </c>
      <c r="D172" s="173">
        <v>100</v>
      </c>
      <c r="E172" s="174">
        <v>71370</v>
      </c>
      <c r="F172" s="174">
        <f>'元データ表（積立金・補填金の差額）'!R173</f>
        <v>-2844</v>
      </c>
      <c r="G172" s="174">
        <f t="shared" si="23"/>
        <v>68526</v>
      </c>
      <c r="H172" s="175">
        <f t="shared" si="24"/>
        <v>-3.9848675914249685</v>
      </c>
      <c r="I172" s="176">
        <f t="shared" si="25"/>
        <v>96.015132408575028</v>
      </c>
    </row>
    <row r="173" spans="2:10" ht="12" hidden="1" customHeight="1">
      <c r="B173" s="274">
        <v>9</v>
      </c>
      <c r="C173" s="262" t="s">
        <v>164</v>
      </c>
      <c r="D173" s="173">
        <v>100.1</v>
      </c>
      <c r="E173" s="174">
        <v>71420</v>
      </c>
      <c r="F173" s="174">
        <f>'元データ表（積立金・補填金の差額）'!R174</f>
        <v>-2844</v>
      </c>
      <c r="G173" s="174">
        <f t="shared" si="23"/>
        <v>68576</v>
      </c>
      <c r="H173" s="175">
        <f t="shared" si="24"/>
        <v>-3.9820778493419211</v>
      </c>
      <c r="I173" s="176">
        <f t="shared" si="25"/>
        <v>96.117922150658075</v>
      </c>
    </row>
    <row r="174" spans="2:10" ht="12" hidden="1" customHeight="1">
      <c r="B174" s="274">
        <v>10</v>
      </c>
      <c r="C174" s="262" t="s">
        <v>165</v>
      </c>
      <c r="D174" s="173">
        <v>99.3</v>
      </c>
      <c r="E174" s="174">
        <v>70800</v>
      </c>
      <c r="F174" s="174">
        <f>'元データ表（積立金・補填金の差額）'!R175</f>
        <v>-1694</v>
      </c>
      <c r="G174" s="174">
        <f t="shared" si="23"/>
        <v>69106</v>
      </c>
      <c r="H174" s="175">
        <v>-2.3926553672316384</v>
      </c>
      <c r="I174" s="176">
        <v>96.907344632768357</v>
      </c>
    </row>
    <row r="175" spans="2:10" ht="12" hidden="1" customHeight="1">
      <c r="B175" s="274">
        <v>11</v>
      </c>
      <c r="C175" s="262" t="s">
        <v>166</v>
      </c>
      <c r="D175" s="173">
        <v>99.1</v>
      </c>
      <c r="E175" s="174">
        <v>70710</v>
      </c>
      <c r="F175" s="174">
        <f>'元データ表（積立金・補填金の差額）'!R176</f>
        <v>-1694</v>
      </c>
      <c r="G175" s="174">
        <f t="shared" si="23"/>
        <v>69016</v>
      </c>
      <c r="H175" s="175">
        <v>-2.3957007495403762</v>
      </c>
      <c r="I175" s="176">
        <v>96.704299250459613</v>
      </c>
    </row>
    <row r="176" spans="2:10" ht="12" hidden="1" customHeight="1">
      <c r="B176" s="521">
        <v>12</v>
      </c>
      <c r="C176" s="505" t="s">
        <v>167</v>
      </c>
      <c r="D176" s="522">
        <v>99.1</v>
      </c>
      <c r="E176" s="523">
        <v>70700</v>
      </c>
      <c r="F176" s="523">
        <f>'元データ表（積立金・補填金の差額）'!R177</f>
        <v>-1694</v>
      </c>
      <c r="G176" s="174">
        <f t="shared" si="23"/>
        <v>69006</v>
      </c>
      <c r="H176" s="511">
        <v>-2.3960396039603959</v>
      </c>
      <c r="I176" s="524">
        <v>96.703960396039605</v>
      </c>
    </row>
    <row r="177" spans="2:9" s="313" customFormat="1" ht="12" hidden="1" customHeight="1">
      <c r="B177" s="439" t="s">
        <v>388</v>
      </c>
      <c r="C177" s="264" t="s">
        <v>389</v>
      </c>
      <c r="D177" s="525">
        <v>99.9</v>
      </c>
      <c r="E177" s="334">
        <v>70380</v>
      </c>
      <c r="F177" s="334">
        <v>306</v>
      </c>
      <c r="G177" s="174">
        <f t="shared" si="23"/>
        <v>70686</v>
      </c>
      <c r="H177" s="341">
        <f t="shared" ref="H177:H200" si="26">F177/E177*100</f>
        <v>0.43478260869565216</v>
      </c>
      <c r="I177" s="342">
        <f>D177+H177</f>
        <v>100.33478260869566</v>
      </c>
    </row>
    <row r="178" spans="2:9" s="313" customFormat="1" ht="12" hidden="1" customHeight="1">
      <c r="B178" s="531" t="s">
        <v>390</v>
      </c>
      <c r="C178" s="262" t="s">
        <v>390</v>
      </c>
      <c r="D178" s="173">
        <v>99.8</v>
      </c>
      <c r="E178" s="174">
        <v>70350</v>
      </c>
      <c r="F178" s="174">
        <v>306</v>
      </c>
      <c r="G178" s="174">
        <f t="shared" si="23"/>
        <v>70656</v>
      </c>
      <c r="H178" s="175">
        <f t="shared" si="26"/>
        <v>0.43496801705756932</v>
      </c>
      <c r="I178" s="176">
        <f t="shared" ref="I178:I187" si="27">D178+H178</f>
        <v>100.23496801705757</v>
      </c>
    </row>
    <row r="179" spans="2:9" s="313" customFormat="1" ht="12" hidden="1" customHeight="1">
      <c r="B179" s="531" t="s">
        <v>168</v>
      </c>
      <c r="C179" s="262" t="s">
        <v>168</v>
      </c>
      <c r="D179" s="173">
        <v>99.9</v>
      </c>
      <c r="E179" s="174">
        <v>70400</v>
      </c>
      <c r="F179" s="174">
        <v>306</v>
      </c>
      <c r="G179" s="174">
        <f t="shared" si="23"/>
        <v>70706</v>
      </c>
      <c r="H179" s="175">
        <f t="shared" si="26"/>
        <v>0.43465909090909094</v>
      </c>
      <c r="I179" s="176">
        <f t="shared" si="27"/>
        <v>100.3346590909091</v>
      </c>
    </row>
    <row r="180" spans="2:9" s="313" customFormat="1" ht="12" hidden="1" customHeight="1">
      <c r="B180" s="531" t="s">
        <v>391</v>
      </c>
      <c r="C180" s="262" t="s">
        <v>391</v>
      </c>
      <c r="D180" s="173">
        <v>98.8</v>
      </c>
      <c r="E180" s="174">
        <v>69620</v>
      </c>
      <c r="F180" s="174">
        <v>506</v>
      </c>
      <c r="G180" s="174">
        <f t="shared" si="23"/>
        <v>70126</v>
      </c>
      <c r="H180" s="175">
        <f t="shared" si="26"/>
        <v>0.72680264291870156</v>
      </c>
      <c r="I180" s="176">
        <f t="shared" si="27"/>
        <v>99.526802642918696</v>
      </c>
    </row>
    <row r="181" spans="2:9" s="313" customFormat="1" ht="12" hidden="1" customHeight="1">
      <c r="B181" s="531" t="s">
        <v>160</v>
      </c>
      <c r="C181" s="262" t="s">
        <v>392</v>
      </c>
      <c r="D181" s="173">
        <v>98.7</v>
      </c>
      <c r="E181" s="174">
        <v>69590</v>
      </c>
      <c r="F181" s="174">
        <v>506</v>
      </c>
      <c r="G181" s="174">
        <f t="shared" si="23"/>
        <v>70096</v>
      </c>
      <c r="H181" s="175">
        <f t="shared" si="26"/>
        <v>0.72711596493749098</v>
      </c>
      <c r="I181" s="176">
        <f t="shared" si="27"/>
        <v>99.427115964937499</v>
      </c>
    </row>
    <row r="182" spans="2:9" s="313" customFormat="1" ht="12" hidden="1" customHeight="1">
      <c r="B182" s="531" t="s">
        <v>161</v>
      </c>
      <c r="C182" s="262" t="s">
        <v>161</v>
      </c>
      <c r="D182" s="173">
        <v>98.8</v>
      </c>
      <c r="E182" s="174">
        <v>69620</v>
      </c>
      <c r="F182" s="174">
        <v>506</v>
      </c>
      <c r="G182" s="174">
        <f t="shared" si="23"/>
        <v>70126</v>
      </c>
      <c r="H182" s="175">
        <f t="shared" si="26"/>
        <v>0.72680264291870156</v>
      </c>
      <c r="I182" s="176">
        <f t="shared" si="27"/>
        <v>99.526802642918696</v>
      </c>
    </row>
    <row r="183" spans="2:9" s="313" customFormat="1" ht="12" hidden="1" customHeight="1">
      <c r="B183" s="531" t="s">
        <v>393</v>
      </c>
      <c r="C183" s="262" t="s">
        <v>393</v>
      </c>
      <c r="D183" s="173">
        <v>98.5</v>
      </c>
      <c r="E183" s="174">
        <v>69440</v>
      </c>
      <c r="F183" s="174">
        <v>506</v>
      </c>
      <c r="G183" s="174">
        <f t="shared" si="23"/>
        <v>69946</v>
      </c>
      <c r="H183" s="175">
        <f t="shared" si="26"/>
        <v>0.72868663594470051</v>
      </c>
      <c r="I183" s="176">
        <f t="shared" si="27"/>
        <v>99.228686635944698</v>
      </c>
    </row>
    <row r="184" spans="2:9" ht="12" hidden="1" customHeight="1">
      <c r="B184" s="531" t="s">
        <v>394</v>
      </c>
      <c r="C184" s="262" t="s">
        <v>394</v>
      </c>
      <c r="D184" s="173">
        <v>98.5</v>
      </c>
      <c r="E184" s="174">
        <v>69410</v>
      </c>
      <c r="F184" s="174">
        <v>506</v>
      </c>
      <c r="G184" s="174">
        <f t="shared" si="23"/>
        <v>69916</v>
      </c>
      <c r="H184" s="175">
        <f t="shared" si="26"/>
        <v>0.72900158478605392</v>
      </c>
      <c r="I184" s="176">
        <f t="shared" si="27"/>
        <v>99.229001584786047</v>
      </c>
    </row>
    <row r="185" spans="2:9" ht="12" hidden="1" customHeight="1">
      <c r="B185" s="531" t="s">
        <v>164</v>
      </c>
      <c r="C185" s="262" t="s">
        <v>164</v>
      </c>
      <c r="D185" s="173">
        <v>98.5</v>
      </c>
      <c r="E185" s="174">
        <v>69420</v>
      </c>
      <c r="F185" s="174">
        <v>506</v>
      </c>
      <c r="G185" s="174">
        <f t="shared" si="23"/>
        <v>69926</v>
      </c>
      <c r="H185" s="175">
        <f t="shared" si="26"/>
        <v>0.72889657159320076</v>
      </c>
      <c r="I185" s="176">
        <f t="shared" si="27"/>
        <v>99.228896571593197</v>
      </c>
    </row>
    <row r="186" spans="2:9" s="313" customFormat="1" ht="12" hidden="1" customHeight="1">
      <c r="B186" s="531" t="s">
        <v>165</v>
      </c>
      <c r="C186" s="262" t="s">
        <v>165</v>
      </c>
      <c r="D186" s="173">
        <v>99.6</v>
      </c>
      <c r="E186" s="174">
        <v>70200</v>
      </c>
      <c r="F186" s="174">
        <v>506</v>
      </c>
      <c r="G186" s="174">
        <f t="shared" si="23"/>
        <v>70706</v>
      </c>
      <c r="H186" s="175">
        <f t="shared" si="26"/>
        <v>0.72079772079772086</v>
      </c>
      <c r="I186" s="176">
        <f t="shared" si="27"/>
        <v>100.32079772079771</v>
      </c>
    </row>
    <row r="187" spans="2:9" ht="12" hidden="1" customHeight="1">
      <c r="B187" s="531" t="s">
        <v>166</v>
      </c>
      <c r="C187" s="262" t="s">
        <v>166</v>
      </c>
      <c r="D187" s="173">
        <v>99.8</v>
      </c>
      <c r="E187" s="174">
        <v>70310</v>
      </c>
      <c r="F187" s="174">
        <v>506</v>
      </c>
      <c r="G187" s="174">
        <f t="shared" si="23"/>
        <v>70816</v>
      </c>
      <c r="H187" s="175">
        <f t="shared" si="26"/>
        <v>0.71967003271227425</v>
      </c>
      <c r="I187" s="176">
        <f t="shared" si="27"/>
        <v>100.51967003271227</v>
      </c>
    </row>
    <row r="188" spans="2:9" ht="12" hidden="1" customHeight="1">
      <c r="B188" s="103" t="s">
        <v>167</v>
      </c>
      <c r="C188" s="262" t="s">
        <v>167</v>
      </c>
      <c r="D188" s="552">
        <v>99.7</v>
      </c>
      <c r="E188" s="174">
        <v>70300</v>
      </c>
      <c r="F188" s="174">
        <v>506</v>
      </c>
      <c r="G188" s="174">
        <f t="shared" si="23"/>
        <v>70806</v>
      </c>
      <c r="H188" s="175">
        <f t="shared" si="26"/>
        <v>0.7197724039829303</v>
      </c>
      <c r="I188" s="176">
        <v>96.703960396039605</v>
      </c>
    </row>
    <row r="189" spans="2:9" s="313" customFormat="1" ht="12" customHeight="1">
      <c r="B189" s="439" t="s">
        <v>395</v>
      </c>
      <c r="C189" s="264" t="s">
        <v>396</v>
      </c>
      <c r="D189" s="453">
        <v>100.4</v>
      </c>
      <c r="E189" s="177">
        <v>67910</v>
      </c>
      <c r="F189" s="177">
        <v>6</v>
      </c>
      <c r="G189" s="177">
        <f t="shared" si="23"/>
        <v>67916</v>
      </c>
      <c r="H189" s="178">
        <f t="shared" si="26"/>
        <v>8.8352230893830059E-3</v>
      </c>
      <c r="I189" s="179">
        <f>D189+H189</f>
        <v>100.40883522308938</v>
      </c>
    </row>
    <row r="190" spans="2:9" s="313" customFormat="1" ht="12" customHeight="1">
      <c r="B190" s="103" t="s">
        <v>390</v>
      </c>
      <c r="C190" s="262" t="s">
        <v>390</v>
      </c>
      <c r="D190" s="552">
        <v>101.3</v>
      </c>
      <c r="E190" s="174">
        <v>68560</v>
      </c>
      <c r="F190" s="174">
        <v>6</v>
      </c>
      <c r="G190" s="174">
        <f t="shared" si="23"/>
        <v>68566</v>
      </c>
      <c r="H190" s="175">
        <f t="shared" si="26"/>
        <v>8.7514585764294044E-3</v>
      </c>
      <c r="I190" s="176">
        <f t="shared" ref="I190:I199" si="28">D190+H190</f>
        <v>101.30875145857642</v>
      </c>
    </row>
    <row r="191" spans="2:9" s="313" customFormat="1" ht="12" customHeight="1">
      <c r="B191" s="274">
        <v>3</v>
      </c>
      <c r="C191" s="262" t="s">
        <v>168</v>
      </c>
      <c r="D191" s="173">
        <v>101.4</v>
      </c>
      <c r="E191" s="174">
        <v>68630</v>
      </c>
      <c r="F191" s="174">
        <v>6</v>
      </c>
      <c r="G191" s="174">
        <f t="shared" si="23"/>
        <v>68636</v>
      </c>
      <c r="H191" s="175">
        <f t="shared" si="26"/>
        <v>8.7425324202243925E-3</v>
      </c>
      <c r="I191" s="176">
        <f t="shared" si="28"/>
        <v>101.40874253242023</v>
      </c>
    </row>
    <row r="192" spans="2:9" s="313" customFormat="1" ht="12" customHeight="1">
      <c r="B192" s="274">
        <v>4</v>
      </c>
      <c r="C192" s="262" t="s">
        <v>169</v>
      </c>
      <c r="D192" s="173">
        <v>99.1</v>
      </c>
      <c r="E192" s="174">
        <v>67030</v>
      </c>
      <c r="F192" s="174">
        <v>6</v>
      </c>
      <c r="G192" s="174">
        <f t="shared" si="23"/>
        <v>67036</v>
      </c>
      <c r="H192" s="175">
        <f t="shared" si="26"/>
        <v>8.9512158734894823E-3</v>
      </c>
      <c r="I192" s="176">
        <f t="shared" si="28"/>
        <v>99.108951215873489</v>
      </c>
    </row>
    <row r="193" spans="2:9" s="313" customFormat="1" ht="12" customHeight="1">
      <c r="B193" s="274">
        <v>5</v>
      </c>
      <c r="C193" s="262" t="s">
        <v>160</v>
      </c>
      <c r="D193" s="173">
        <v>99.9</v>
      </c>
      <c r="E193" s="174">
        <v>67620</v>
      </c>
      <c r="F193" s="174">
        <v>6</v>
      </c>
      <c r="G193" s="174">
        <f t="shared" si="23"/>
        <v>67626</v>
      </c>
      <c r="H193" s="175">
        <f t="shared" si="26"/>
        <v>8.8731144631765749E-3</v>
      </c>
      <c r="I193" s="176">
        <f t="shared" si="28"/>
        <v>99.908873114463177</v>
      </c>
    </row>
    <row r="194" spans="2:9" s="313" customFormat="1" ht="12" customHeight="1">
      <c r="B194" s="274">
        <v>6</v>
      </c>
      <c r="C194" s="262" t="s">
        <v>161</v>
      </c>
      <c r="D194" s="173">
        <v>99.8</v>
      </c>
      <c r="E194" s="174">
        <v>67530</v>
      </c>
      <c r="F194" s="174">
        <v>6</v>
      </c>
      <c r="G194" s="174">
        <f t="shared" si="23"/>
        <v>67536</v>
      </c>
      <c r="H194" s="175">
        <f t="shared" si="26"/>
        <v>8.8849400266548216E-3</v>
      </c>
      <c r="I194" s="176">
        <f t="shared" si="28"/>
        <v>99.808884940026658</v>
      </c>
    </row>
    <row r="195" spans="2:9" s="313" customFormat="1" ht="12" customHeight="1">
      <c r="B195" s="274">
        <v>7</v>
      </c>
      <c r="C195" s="262" t="s">
        <v>162</v>
      </c>
      <c r="D195" s="173">
        <v>98.2</v>
      </c>
      <c r="E195" s="174">
        <v>66410</v>
      </c>
      <c r="F195" s="174">
        <v>6</v>
      </c>
      <c r="G195" s="174">
        <f t="shared" si="23"/>
        <v>66416</v>
      </c>
      <c r="H195" s="175">
        <f t="shared" si="26"/>
        <v>9.034783918084625E-3</v>
      </c>
      <c r="I195" s="176">
        <f t="shared" si="28"/>
        <v>98.209034783918085</v>
      </c>
    </row>
    <row r="196" spans="2:9" ht="12" customHeight="1">
      <c r="B196" s="274">
        <v>8</v>
      </c>
      <c r="C196" s="262" t="s">
        <v>163</v>
      </c>
      <c r="D196" s="173">
        <v>99</v>
      </c>
      <c r="E196" s="174">
        <v>67010</v>
      </c>
      <c r="F196" s="174">
        <v>6</v>
      </c>
      <c r="G196" s="174">
        <f t="shared" si="23"/>
        <v>67016</v>
      </c>
      <c r="H196" s="175">
        <f t="shared" si="26"/>
        <v>8.9538874794806746E-3</v>
      </c>
      <c r="I196" s="176">
        <f t="shared" si="28"/>
        <v>99.008953887479478</v>
      </c>
    </row>
    <row r="197" spans="2:9" ht="12" customHeight="1">
      <c r="B197" s="274">
        <v>9</v>
      </c>
      <c r="C197" s="262" t="s">
        <v>164</v>
      </c>
      <c r="D197" s="173">
        <v>99.1</v>
      </c>
      <c r="E197" s="174">
        <v>67030</v>
      </c>
      <c r="F197" s="174">
        <v>6</v>
      </c>
      <c r="G197" s="174">
        <f t="shared" si="23"/>
        <v>67036</v>
      </c>
      <c r="H197" s="175">
        <f t="shared" si="26"/>
        <v>8.9512158734894823E-3</v>
      </c>
      <c r="I197" s="176">
        <f t="shared" si="28"/>
        <v>99.108951215873489</v>
      </c>
    </row>
    <row r="198" spans="2:9" s="313" customFormat="1" ht="12" customHeight="1">
      <c r="B198" s="274">
        <v>10</v>
      </c>
      <c r="C198" s="262" t="s">
        <v>165</v>
      </c>
      <c r="D198" s="173">
        <v>100.5</v>
      </c>
      <c r="E198" s="174">
        <v>67970</v>
      </c>
      <c r="F198" s="174">
        <v>6</v>
      </c>
      <c r="G198" s="174">
        <f t="shared" si="23"/>
        <v>67976</v>
      </c>
      <c r="H198" s="175">
        <f t="shared" si="26"/>
        <v>8.8274238634691773E-3</v>
      </c>
      <c r="I198" s="176">
        <f t="shared" si="28"/>
        <v>100.50882742386347</v>
      </c>
    </row>
    <row r="199" spans="2:9" ht="12" customHeight="1">
      <c r="B199" s="274">
        <v>11</v>
      </c>
      <c r="C199" s="262" t="s">
        <v>166</v>
      </c>
      <c r="D199" s="173">
        <v>100.6</v>
      </c>
      <c r="E199" s="174">
        <v>68040</v>
      </c>
      <c r="F199" s="174">
        <v>6</v>
      </c>
      <c r="G199" s="174">
        <f t="shared" si="23"/>
        <v>68046</v>
      </c>
      <c r="H199" s="175">
        <f t="shared" si="26"/>
        <v>8.8183421516754863E-3</v>
      </c>
      <c r="I199" s="176">
        <f t="shared" si="28"/>
        <v>100.60881834215166</v>
      </c>
    </row>
    <row r="200" spans="2:9" ht="12" customHeight="1">
      <c r="B200" s="398">
        <v>12</v>
      </c>
      <c r="C200" s="263" t="s">
        <v>167</v>
      </c>
      <c r="D200" s="180">
        <v>100.7</v>
      </c>
      <c r="E200" s="181">
        <v>68140</v>
      </c>
      <c r="F200" s="181">
        <v>6</v>
      </c>
      <c r="G200" s="181">
        <f t="shared" si="23"/>
        <v>68146</v>
      </c>
      <c r="H200" s="182">
        <f t="shared" si="26"/>
        <v>8.8054006457293794E-3</v>
      </c>
      <c r="I200" s="183">
        <v>96.703960396039605</v>
      </c>
    </row>
    <row r="201" spans="2:9" s="313" customFormat="1" ht="12" customHeight="1">
      <c r="B201" s="103" t="s">
        <v>397</v>
      </c>
      <c r="C201" s="262" t="s">
        <v>398</v>
      </c>
      <c r="D201" s="552">
        <v>107.6</v>
      </c>
      <c r="E201" s="174">
        <v>72590</v>
      </c>
      <c r="F201" s="174">
        <f>'元データ表（積立金・補填金の差額）'!R202</f>
        <v>3306.0000000000005</v>
      </c>
      <c r="G201" s="174">
        <f t="shared" ref="G201" si="29">E201+F201</f>
        <v>75896</v>
      </c>
      <c r="H201" s="175">
        <f t="shared" ref="H201" si="30">F201/E201*100</f>
        <v>4.5543463286954129</v>
      </c>
      <c r="I201" s="176">
        <f>D201+H201</f>
        <v>112.15434632869541</v>
      </c>
    </row>
    <row r="202" spans="2:9" s="313" customFormat="1" ht="12" customHeight="1">
      <c r="B202" s="531" t="s">
        <v>390</v>
      </c>
      <c r="C202" s="262" t="s">
        <v>390</v>
      </c>
      <c r="D202" s="173">
        <v>107.3</v>
      </c>
      <c r="E202" s="174">
        <v>72400</v>
      </c>
      <c r="F202" s="174">
        <f>'元データ表（積立金・補填金の差額）'!R203</f>
        <v>3306.0000000000005</v>
      </c>
      <c r="G202" s="174">
        <f t="shared" ref="G202:G213" si="31">E202+F202</f>
        <v>75706</v>
      </c>
      <c r="H202" s="175">
        <f t="shared" ref="H202:H213" si="32">F202/E202*100</f>
        <v>4.5662983425414367</v>
      </c>
      <c r="I202" s="176">
        <f t="shared" ref="I202:I212" si="33">D202+H202</f>
        <v>111.86629834254143</v>
      </c>
    </row>
    <row r="203" spans="2:9" s="313" customFormat="1" ht="12" customHeight="1">
      <c r="B203" s="274">
        <v>3</v>
      </c>
      <c r="C203" s="262" t="s">
        <v>168</v>
      </c>
      <c r="D203" s="173">
        <v>107.6</v>
      </c>
      <c r="E203" s="174">
        <v>72550</v>
      </c>
      <c r="F203" s="174">
        <f>'元データ表（積立金・補填金の差額）'!R204</f>
        <v>3306.0000000000005</v>
      </c>
      <c r="G203" s="174">
        <f t="shared" si="31"/>
        <v>75856</v>
      </c>
      <c r="H203" s="175">
        <f t="shared" si="32"/>
        <v>4.5568573397656795</v>
      </c>
      <c r="I203" s="176">
        <f t="shared" si="33"/>
        <v>112.15685733976568</v>
      </c>
    </row>
    <row r="204" spans="2:9" s="313" customFormat="1" ht="12" customHeight="1">
      <c r="B204" s="274">
        <v>4</v>
      </c>
      <c r="C204" s="262" t="s">
        <v>169</v>
      </c>
      <c r="D204" s="173">
        <v>115.2</v>
      </c>
      <c r="E204" s="174">
        <v>77680</v>
      </c>
      <c r="F204" s="174">
        <f>'元データ表（積立金・補填金の差額）'!R205</f>
        <v>10306.000000000002</v>
      </c>
      <c r="G204" s="174">
        <f t="shared" si="31"/>
        <v>87986</v>
      </c>
      <c r="H204" s="175">
        <f t="shared" si="32"/>
        <v>13.267250257466531</v>
      </c>
      <c r="I204" s="176">
        <f t="shared" si="33"/>
        <v>128.46725025746653</v>
      </c>
    </row>
    <row r="205" spans="2:9" s="313" customFormat="1" ht="12" customHeight="1">
      <c r="B205" s="274">
        <v>5</v>
      </c>
      <c r="C205" s="262" t="s">
        <v>160</v>
      </c>
      <c r="D205" s="173">
        <v>115.6</v>
      </c>
      <c r="E205" s="174">
        <v>78000</v>
      </c>
      <c r="F205" s="174">
        <f>'元データ表（積立金・補填金の差額）'!R206</f>
        <v>10306.000000000002</v>
      </c>
      <c r="G205" s="174">
        <f t="shared" si="31"/>
        <v>88306</v>
      </c>
      <c r="H205" s="175">
        <f t="shared" si="32"/>
        <v>13.212820512820514</v>
      </c>
      <c r="I205" s="176">
        <f t="shared" si="33"/>
        <v>128.81282051282051</v>
      </c>
    </row>
    <row r="206" spans="2:9" s="313" customFormat="1" ht="12" customHeight="1">
      <c r="B206" s="274">
        <v>6</v>
      </c>
      <c r="C206" s="262" t="s">
        <v>161</v>
      </c>
      <c r="D206" s="173">
        <v>115.8</v>
      </c>
      <c r="E206" s="174">
        <v>78110</v>
      </c>
      <c r="F206" s="174">
        <f>'元データ表（積立金・補填金の差額）'!R207</f>
        <v>10306.000000000002</v>
      </c>
      <c r="G206" s="174">
        <f t="shared" si="31"/>
        <v>88416</v>
      </c>
      <c r="H206" s="175">
        <f t="shared" si="32"/>
        <v>13.194213288951481</v>
      </c>
      <c r="I206" s="176">
        <f t="shared" si="33"/>
        <v>128.99421328895147</v>
      </c>
    </row>
    <row r="207" spans="2:9" s="313" customFormat="1" ht="12" customHeight="1">
      <c r="B207" s="274">
        <v>7</v>
      </c>
      <c r="C207" s="262" t="s">
        <v>162</v>
      </c>
      <c r="D207" s="173">
        <v>122.6</v>
      </c>
      <c r="E207" s="174">
        <v>82690</v>
      </c>
      <c r="F207" s="174">
        <f>'元データ表（積立金・補填金の差額）'!R208</f>
        <v>12606.000000000002</v>
      </c>
      <c r="G207" s="174">
        <f t="shared" si="31"/>
        <v>95296</v>
      </c>
      <c r="H207" s="175">
        <f t="shared" si="32"/>
        <v>15.244890555085261</v>
      </c>
      <c r="I207" s="176">
        <f t="shared" si="33"/>
        <v>137.84489055508524</v>
      </c>
    </row>
    <row r="208" spans="2:9" ht="12" customHeight="1">
      <c r="B208" s="274">
        <v>8</v>
      </c>
      <c r="C208" s="262" t="s">
        <v>163</v>
      </c>
      <c r="D208" s="173">
        <v>122.7</v>
      </c>
      <c r="E208" s="174">
        <v>82730</v>
      </c>
      <c r="F208" s="174">
        <f>'元データ表（積立金・補填金の差額）'!R209</f>
        <v>12606.000000000002</v>
      </c>
      <c r="G208" s="174">
        <f t="shared" si="31"/>
        <v>95336</v>
      </c>
      <c r="H208" s="175">
        <f t="shared" si="32"/>
        <v>15.237519642209598</v>
      </c>
      <c r="I208" s="176">
        <f t="shared" si="33"/>
        <v>137.93751964220959</v>
      </c>
    </row>
    <row r="209" spans="2:9" ht="12" customHeight="1">
      <c r="B209" s="274">
        <v>9</v>
      </c>
      <c r="C209" s="262" t="s">
        <v>164</v>
      </c>
      <c r="D209" s="173">
        <v>122.6</v>
      </c>
      <c r="E209" s="174">
        <v>82700</v>
      </c>
      <c r="F209" s="174">
        <f>'元データ表（積立金・補填金の差額）'!R210</f>
        <v>12606.000000000002</v>
      </c>
      <c r="G209" s="174">
        <f t="shared" si="31"/>
        <v>95306</v>
      </c>
      <c r="H209" s="175">
        <f t="shared" si="32"/>
        <v>15.243047158403872</v>
      </c>
      <c r="I209" s="176">
        <f t="shared" si="33"/>
        <v>137.84304715840386</v>
      </c>
    </row>
    <row r="210" spans="2:9" s="313" customFormat="1" ht="12" customHeight="1">
      <c r="B210" s="274">
        <v>10</v>
      </c>
      <c r="C210" s="262" t="s">
        <v>165</v>
      </c>
      <c r="D210" s="173">
        <v>120.6</v>
      </c>
      <c r="E210" s="174">
        <v>81370</v>
      </c>
      <c r="F210" s="174">
        <f>'元データ表（積立金・補填金の差額）'!R211</f>
        <v>8906</v>
      </c>
      <c r="G210" s="174">
        <f t="shared" si="31"/>
        <v>90276</v>
      </c>
      <c r="H210" s="175">
        <f t="shared" si="32"/>
        <v>10.945065749047561</v>
      </c>
      <c r="I210" s="176">
        <f t="shared" si="33"/>
        <v>131.54506574904755</v>
      </c>
    </row>
    <row r="211" spans="2:9" ht="12" customHeight="1">
      <c r="B211" s="274">
        <v>11</v>
      </c>
      <c r="C211" s="262" t="s">
        <v>166</v>
      </c>
      <c r="D211" s="173">
        <v>120.4</v>
      </c>
      <c r="E211" s="174">
        <v>81220</v>
      </c>
      <c r="F211" s="174">
        <f>'元データ表（積立金・補填金の差額）'!R212</f>
        <v>8906</v>
      </c>
      <c r="G211" s="174">
        <f t="shared" si="31"/>
        <v>90126</v>
      </c>
      <c r="H211" s="175">
        <f t="shared" si="32"/>
        <v>10.965279487810884</v>
      </c>
      <c r="I211" s="176">
        <f t="shared" si="33"/>
        <v>131.36527948781088</v>
      </c>
    </row>
    <row r="212" spans="2:9" ht="12" customHeight="1">
      <c r="B212" s="339">
        <v>12</v>
      </c>
      <c r="C212" s="262" t="s">
        <v>167</v>
      </c>
      <c r="D212" s="173">
        <v>120.2</v>
      </c>
      <c r="E212" s="174">
        <v>81080</v>
      </c>
      <c r="F212" s="174">
        <f>'元データ表（積立金・補填金の差額）'!R213</f>
        <v>8906</v>
      </c>
      <c r="G212" s="174">
        <f t="shared" si="31"/>
        <v>89986</v>
      </c>
      <c r="H212" s="175">
        <f t="shared" si="32"/>
        <v>10.984213122841638</v>
      </c>
      <c r="I212" s="176">
        <f t="shared" si="33"/>
        <v>131.18421312284164</v>
      </c>
    </row>
    <row r="213" spans="2:9" s="313" customFormat="1" ht="12" customHeight="1">
      <c r="B213" s="439" t="s">
        <v>399</v>
      </c>
      <c r="C213" s="264" t="s">
        <v>400</v>
      </c>
      <c r="D213" s="453">
        <v>123.3</v>
      </c>
      <c r="E213" s="177">
        <v>84330</v>
      </c>
      <c r="F213" s="177">
        <f>'元データ表（積立金・補填金の差額）'!R214</f>
        <v>5606</v>
      </c>
      <c r="G213" s="177">
        <f t="shared" si="31"/>
        <v>89936</v>
      </c>
      <c r="H213" s="178">
        <f t="shared" si="32"/>
        <v>6.6476935847266692</v>
      </c>
      <c r="I213" s="179">
        <f>D213+H213</f>
        <v>129.94769358472666</v>
      </c>
    </row>
    <row r="214" spans="2:9" s="313" customFormat="1" ht="12" customHeight="1">
      <c r="B214" s="265" t="s">
        <v>147</v>
      </c>
      <c r="C214" s="262" t="s">
        <v>147</v>
      </c>
      <c r="D214" s="173">
        <v>123.4</v>
      </c>
      <c r="E214" s="174">
        <v>84340</v>
      </c>
      <c r="F214" s="174">
        <f>'元データ表（積立金・補填金の差額）'!R215</f>
        <v>5606</v>
      </c>
      <c r="G214" s="174">
        <f t="shared" ref="G214:G236" si="34">E214+F214</f>
        <v>89946</v>
      </c>
      <c r="H214" s="175">
        <f t="shared" ref="H214:H224" si="35">F214/E214*100</f>
        <v>6.6469053829736779</v>
      </c>
      <c r="I214" s="176">
        <f t="shared" ref="I214:I224" si="36">D214+H214</f>
        <v>130.04690538297368</v>
      </c>
    </row>
    <row r="215" spans="2:9" s="313" customFormat="1" ht="12" customHeight="1">
      <c r="B215" s="274">
        <v>3</v>
      </c>
      <c r="C215" s="262" t="s">
        <v>168</v>
      </c>
      <c r="D215" s="173">
        <v>123.5</v>
      </c>
      <c r="E215" s="174">
        <v>84420</v>
      </c>
      <c r="F215" s="174">
        <f>'元データ表（積立金・補填金の差額）'!R216</f>
        <v>5606</v>
      </c>
      <c r="G215" s="174">
        <f t="shared" si="34"/>
        <v>90026</v>
      </c>
      <c r="H215" s="175">
        <f t="shared" si="35"/>
        <v>6.6406064913527603</v>
      </c>
      <c r="I215" s="176">
        <f t="shared" si="36"/>
        <v>130.14060649135277</v>
      </c>
    </row>
    <row r="216" spans="2:9" s="313" customFormat="1" ht="12" customHeight="1">
      <c r="B216" s="274">
        <v>4</v>
      </c>
      <c r="C216" s="262" t="s">
        <v>169</v>
      </c>
      <c r="D216" s="173">
        <v>129.19999999999999</v>
      </c>
      <c r="E216" s="174">
        <v>88360</v>
      </c>
      <c r="F216" s="174">
        <f>'元データ表（積立金・補填金の差額）'!R217</f>
        <v>10439.333333333336</v>
      </c>
      <c r="G216" s="174">
        <f t="shared" si="34"/>
        <v>98799.333333333343</v>
      </c>
      <c r="H216" s="175">
        <f t="shared" si="35"/>
        <v>11.814546551984309</v>
      </c>
      <c r="I216" s="176">
        <f t="shared" si="36"/>
        <v>141.0145465519843</v>
      </c>
    </row>
    <row r="217" spans="2:9" s="313" customFormat="1" ht="12" customHeight="1">
      <c r="B217" s="274">
        <v>5</v>
      </c>
      <c r="C217" s="262" t="s">
        <v>160</v>
      </c>
      <c r="D217" s="173">
        <v>129.4</v>
      </c>
      <c r="E217" s="174">
        <v>88470</v>
      </c>
      <c r="F217" s="174">
        <f>'元データ表（積立金・補填金の差額）'!R218</f>
        <v>10439.333333333336</v>
      </c>
      <c r="G217" s="174">
        <f t="shared" si="34"/>
        <v>98909.333333333343</v>
      </c>
      <c r="H217" s="175">
        <f t="shared" si="35"/>
        <v>11.799856825289178</v>
      </c>
      <c r="I217" s="176">
        <f t="shared" si="36"/>
        <v>141.19985682528917</v>
      </c>
    </row>
    <row r="218" spans="2:9" s="313" customFormat="1" ht="12" customHeight="1">
      <c r="B218" s="274">
        <v>6</v>
      </c>
      <c r="C218" s="262" t="s">
        <v>161</v>
      </c>
      <c r="D218" s="173">
        <v>129.6</v>
      </c>
      <c r="E218" s="174">
        <v>88630</v>
      </c>
      <c r="F218" s="174">
        <f>'元データ表（積立金・補填金の差額）'!R219</f>
        <v>10439.333333333336</v>
      </c>
      <c r="G218" s="174">
        <f t="shared" si="34"/>
        <v>99069.333333333343</v>
      </c>
      <c r="H218" s="175">
        <f t="shared" si="35"/>
        <v>11.778555041558542</v>
      </c>
      <c r="I218" s="176">
        <f t="shared" si="36"/>
        <v>141.37855504155854</v>
      </c>
    </row>
    <row r="219" spans="2:9" s="313" customFormat="1" ht="12" customHeight="1">
      <c r="B219" s="274">
        <v>7</v>
      </c>
      <c r="C219" s="262" t="s">
        <v>162</v>
      </c>
      <c r="D219" s="173">
        <v>146.1</v>
      </c>
      <c r="E219" s="174">
        <v>99900</v>
      </c>
      <c r="F219" s="174">
        <f>'元データ表（積立金・補填金の差額）'!R220</f>
        <v>17406</v>
      </c>
      <c r="G219" s="174">
        <f t="shared" si="34"/>
        <v>117306</v>
      </c>
      <c r="H219" s="175">
        <f t="shared" si="35"/>
        <v>17.423423423423422</v>
      </c>
      <c r="I219" s="176">
        <f t="shared" si="36"/>
        <v>163.52342342342342</v>
      </c>
    </row>
    <row r="220" spans="2:9" ht="12" customHeight="1">
      <c r="B220" s="274">
        <v>8</v>
      </c>
      <c r="C220" s="262" t="s">
        <v>163</v>
      </c>
      <c r="D220" s="173">
        <v>146.6</v>
      </c>
      <c r="E220" s="174">
        <v>100200</v>
      </c>
      <c r="F220" s="174">
        <f>'元データ表（積立金・補填金の差額）'!R221</f>
        <v>17406</v>
      </c>
      <c r="G220" s="174">
        <f t="shared" si="34"/>
        <v>117606</v>
      </c>
      <c r="H220" s="175">
        <f t="shared" si="35"/>
        <v>17.37125748502994</v>
      </c>
      <c r="I220" s="176">
        <f t="shared" si="36"/>
        <v>163.97125748502992</v>
      </c>
    </row>
    <row r="221" spans="2:9" ht="12" customHeight="1">
      <c r="B221" s="274">
        <v>9</v>
      </c>
      <c r="C221" s="262" t="s">
        <v>164</v>
      </c>
      <c r="D221" s="173">
        <v>146.6</v>
      </c>
      <c r="E221" s="174">
        <v>100200</v>
      </c>
      <c r="F221" s="174">
        <f>'元データ表（積立金・補填金の差額）'!R222</f>
        <v>17406</v>
      </c>
      <c r="G221" s="174">
        <f t="shared" si="34"/>
        <v>117606</v>
      </c>
      <c r="H221" s="175">
        <f t="shared" si="35"/>
        <v>17.37125748502994</v>
      </c>
      <c r="I221" s="176">
        <f t="shared" si="36"/>
        <v>163.97125748502992</v>
      </c>
    </row>
    <row r="222" spans="2:9" s="313" customFormat="1" ht="12" customHeight="1">
      <c r="B222" s="274">
        <v>10</v>
      </c>
      <c r="C222" s="262" t="s">
        <v>165</v>
      </c>
      <c r="D222" s="173">
        <v>147.4</v>
      </c>
      <c r="E222" s="174">
        <v>100800</v>
      </c>
      <c r="F222" s="174">
        <f>'元データ表（積立金・補填金の差額）'!R223</f>
        <v>8356.0000000000018</v>
      </c>
      <c r="G222" s="174">
        <f t="shared" si="34"/>
        <v>109156</v>
      </c>
      <c r="H222" s="175">
        <f t="shared" si="35"/>
        <v>8.2896825396825413</v>
      </c>
      <c r="I222" s="176">
        <f t="shared" si="36"/>
        <v>155.68968253968254</v>
      </c>
    </row>
    <row r="223" spans="2:9" ht="12" customHeight="1">
      <c r="B223" s="274">
        <v>11</v>
      </c>
      <c r="C223" s="262" t="s">
        <v>166</v>
      </c>
      <c r="D223" s="173">
        <v>147.30000000000001</v>
      </c>
      <c r="E223" s="174">
        <v>100700</v>
      </c>
      <c r="F223" s="174">
        <f>'元データ表（積立金・補填金の差額）'!R224</f>
        <v>8356.0000000000018</v>
      </c>
      <c r="G223" s="174">
        <f t="shared" si="34"/>
        <v>109056</v>
      </c>
      <c r="H223" s="175">
        <f t="shared" si="35"/>
        <v>8.2979145978152946</v>
      </c>
      <c r="I223" s="176">
        <f t="shared" si="36"/>
        <v>155.5979145978153</v>
      </c>
    </row>
    <row r="224" spans="2:9" ht="12" customHeight="1">
      <c r="B224" s="398">
        <v>12</v>
      </c>
      <c r="C224" s="263" t="s">
        <v>167</v>
      </c>
      <c r="D224" s="180">
        <v>147.19999999999999</v>
      </c>
      <c r="E224" s="181">
        <v>100700</v>
      </c>
      <c r="F224" s="181">
        <f>'元データ表（積立金・補填金の差額）'!R225</f>
        <v>8356.0000000000018</v>
      </c>
      <c r="G224" s="181">
        <f t="shared" si="34"/>
        <v>109056</v>
      </c>
      <c r="H224" s="182">
        <f t="shared" si="35"/>
        <v>8.2979145978152946</v>
      </c>
      <c r="I224" s="183">
        <f t="shared" si="36"/>
        <v>155.49791459781528</v>
      </c>
    </row>
    <row r="225" spans="2:12" s="313" customFormat="1" ht="12" customHeight="1">
      <c r="B225" s="531" t="s">
        <v>405</v>
      </c>
      <c r="C225" s="262" t="s">
        <v>406</v>
      </c>
      <c r="D225" s="550">
        <v>146</v>
      </c>
      <c r="E225" s="174">
        <v>99400</v>
      </c>
      <c r="F225" s="177">
        <f>'元データ表（積立金・補填金の差額）'!R226</f>
        <v>1556</v>
      </c>
      <c r="G225" s="558">
        <f t="shared" si="34"/>
        <v>100956</v>
      </c>
      <c r="H225" s="175">
        <f>F225/E225*100</f>
        <v>1.5653923541247485</v>
      </c>
      <c r="I225" s="176">
        <f>D225+H225</f>
        <v>147.56539235412475</v>
      </c>
      <c r="J225" s="551"/>
    </row>
    <row r="226" spans="2:12" s="313" customFormat="1" ht="12" customHeight="1">
      <c r="B226" s="531" t="s">
        <v>412</v>
      </c>
      <c r="C226" s="262" t="s">
        <v>412</v>
      </c>
      <c r="D226" s="550">
        <v>145.69999999999999</v>
      </c>
      <c r="E226" s="174">
        <v>99220</v>
      </c>
      <c r="F226" s="174">
        <f>'元データ表（積立金・補填金の差額）'!R227</f>
        <v>1556</v>
      </c>
      <c r="G226" s="558">
        <f t="shared" si="34"/>
        <v>100776</v>
      </c>
      <c r="H226" s="556">
        <f>F226/E226*100</f>
        <v>1.5682322112477325</v>
      </c>
      <c r="I226" s="562">
        <f>D226+H226</f>
        <v>147.26823221124772</v>
      </c>
      <c r="J226" s="551"/>
    </row>
    <row r="227" spans="2:12" s="313" customFormat="1" ht="12" customHeight="1">
      <c r="B227" s="339">
        <v>3</v>
      </c>
      <c r="C227" s="262" t="s">
        <v>168</v>
      </c>
      <c r="D227" s="550">
        <v>145.69999999999999</v>
      </c>
      <c r="E227" s="174">
        <v>99220</v>
      </c>
      <c r="F227" s="174">
        <f>'元データ表（積立金・補填金の差額）'!R228</f>
        <v>1556</v>
      </c>
      <c r="G227" s="558">
        <f t="shared" si="34"/>
        <v>100776</v>
      </c>
      <c r="H227" s="556">
        <f>F227/E227*100</f>
        <v>1.5682322112477325</v>
      </c>
      <c r="I227" s="562">
        <f t="shared" ref="I227:I236" si="37">D227+H227</f>
        <v>147.26823221124772</v>
      </c>
      <c r="J227" s="551"/>
    </row>
    <row r="228" spans="2:12" s="313" customFormat="1" ht="12" customHeight="1">
      <c r="B228" s="339">
        <v>4</v>
      </c>
      <c r="C228" s="262" t="s">
        <v>169</v>
      </c>
      <c r="D228" s="550">
        <v>144.69999999999999</v>
      </c>
      <c r="E228" s="174">
        <v>98520</v>
      </c>
      <c r="F228" s="174">
        <f>'元データ表（積立金・補填金の差額）'!R229</f>
        <v>7656.0000000000009</v>
      </c>
      <c r="G228" s="558">
        <f t="shared" si="34"/>
        <v>106176</v>
      </c>
      <c r="H228" s="556">
        <f t="shared" ref="H228:H232" si="38">F228/E228*100</f>
        <v>7.7710109622411707</v>
      </c>
      <c r="I228" s="562">
        <f t="shared" si="37"/>
        <v>152.47101096224117</v>
      </c>
      <c r="J228" s="551"/>
    </row>
    <row r="229" spans="2:12" s="313" customFormat="1" ht="12" customHeight="1">
      <c r="B229" s="339">
        <v>5</v>
      </c>
      <c r="C229" s="262" t="s">
        <v>160</v>
      </c>
      <c r="D229" s="550">
        <v>144.4</v>
      </c>
      <c r="E229" s="174">
        <v>98350</v>
      </c>
      <c r="F229" s="174">
        <f>'元データ表（積立金・補填金の差額）'!R230</f>
        <v>7656.0000000000009</v>
      </c>
      <c r="G229" s="558">
        <f t="shared" si="34"/>
        <v>106006</v>
      </c>
      <c r="H229" s="556">
        <f t="shared" si="38"/>
        <v>7.7844433146924255</v>
      </c>
      <c r="I229" s="562">
        <f t="shared" si="37"/>
        <v>152.18444331469243</v>
      </c>
      <c r="J229" s="551"/>
    </row>
    <row r="230" spans="2:12" s="313" customFormat="1" ht="12" customHeight="1">
      <c r="B230" s="339">
        <v>6</v>
      </c>
      <c r="C230" s="262" t="s">
        <v>161</v>
      </c>
      <c r="D230" s="550">
        <v>144.4</v>
      </c>
      <c r="E230" s="174">
        <v>98350</v>
      </c>
      <c r="F230" s="174">
        <f>'元データ表（積立金・補填金の差額）'!R231</f>
        <v>7656.0000000000009</v>
      </c>
      <c r="G230" s="558">
        <f t="shared" si="34"/>
        <v>106006</v>
      </c>
      <c r="H230" s="556">
        <f t="shared" si="38"/>
        <v>7.7844433146924255</v>
      </c>
      <c r="I230" s="562">
        <f t="shared" si="37"/>
        <v>152.18444331469243</v>
      </c>
      <c r="J230" s="551"/>
    </row>
    <row r="231" spans="2:12" s="313" customFormat="1" ht="12" customHeight="1">
      <c r="B231" s="339">
        <v>7</v>
      </c>
      <c r="C231" s="262" t="s">
        <v>162</v>
      </c>
      <c r="D231" s="550">
        <v>141.9</v>
      </c>
      <c r="E231" s="174">
        <v>96640</v>
      </c>
      <c r="F231" s="174">
        <f>'元データ表（積立金・補填金の差額）'!R232</f>
        <v>5856</v>
      </c>
      <c r="G231" s="558">
        <f t="shared" si="34"/>
        <v>102496</v>
      </c>
      <c r="H231" s="556">
        <f t="shared" si="38"/>
        <v>6.0596026490066226</v>
      </c>
      <c r="I231" s="562">
        <f t="shared" si="37"/>
        <v>147.95960264900663</v>
      </c>
      <c r="J231" s="551"/>
    </row>
    <row r="232" spans="2:12" s="313" customFormat="1" ht="12" customHeight="1">
      <c r="B232" s="339">
        <v>8</v>
      </c>
      <c r="C232" s="262" t="s">
        <v>163</v>
      </c>
      <c r="D232" s="550">
        <v>141.80000000000001</v>
      </c>
      <c r="E232" s="174">
        <v>96580</v>
      </c>
      <c r="F232" s="174">
        <f>'元データ表（積立金・補填金の差額）'!R233</f>
        <v>5856</v>
      </c>
      <c r="G232" s="558">
        <f t="shared" si="34"/>
        <v>102436</v>
      </c>
      <c r="H232" s="556">
        <f t="shared" si="38"/>
        <v>6.0633671567612337</v>
      </c>
      <c r="I232" s="562">
        <f t="shared" si="37"/>
        <v>147.86336715676126</v>
      </c>
    </row>
    <row r="233" spans="2:12" s="313" customFormat="1" ht="12" customHeight="1">
      <c r="B233" s="339">
        <v>9</v>
      </c>
      <c r="C233" s="262" t="s">
        <v>164</v>
      </c>
      <c r="D233" s="550">
        <v>141.80000000000001</v>
      </c>
      <c r="E233" s="174">
        <v>96580</v>
      </c>
      <c r="F233" s="174">
        <f>'元データ表（積立金・補填金の差額）'!R234</f>
        <v>5856</v>
      </c>
      <c r="G233" s="558">
        <f t="shared" si="34"/>
        <v>102436</v>
      </c>
      <c r="H233" s="556">
        <f>F233/E233*100</f>
        <v>6.0633671567612337</v>
      </c>
      <c r="I233" s="562">
        <f t="shared" si="37"/>
        <v>147.86336715676126</v>
      </c>
    </row>
    <row r="234" spans="2:12" s="313" customFormat="1" ht="12" customHeight="1">
      <c r="B234" s="339">
        <v>10</v>
      </c>
      <c r="C234" s="262" t="s">
        <v>165</v>
      </c>
      <c r="D234" s="550">
        <v>139.69999999999999</v>
      </c>
      <c r="E234" s="174">
        <v>95140</v>
      </c>
      <c r="F234" s="174">
        <f>'元データ表（積立金・補填金の差額）'!R235</f>
        <v>1656.0000000000002</v>
      </c>
      <c r="G234" s="558">
        <f t="shared" si="34"/>
        <v>96796</v>
      </c>
      <c r="H234" s="556">
        <f t="shared" ref="H234:H236" si="39">F234/E234*100</f>
        <v>1.7405928105949129</v>
      </c>
      <c r="I234" s="562">
        <f t="shared" si="37"/>
        <v>141.44059281059489</v>
      </c>
      <c r="L234" s="88"/>
    </row>
    <row r="235" spans="2:12" ht="12" customHeight="1">
      <c r="B235" s="339">
        <v>11</v>
      </c>
      <c r="C235" s="262" t="s">
        <v>166</v>
      </c>
      <c r="D235" s="550">
        <v>139.5</v>
      </c>
      <c r="E235" s="174">
        <v>95020</v>
      </c>
      <c r="F235" s="174">
        <f>'元データ表（積立金・補填金の差額）'!R236</f>
        <v>1656.0000000000002</v>
      </c>
      <c r="G235" s="558">
        <f t="shared" si="34"/>
        <v>96676</v>
      </c>
      <c r="H235" s="556">
        <f t="shared" si="39"/>
        <v>1.742790991370238</v>
      </c>
      <c r="I235" s="562">
        <f t="shared" si="37"/>
        <v>141.24279099137024</v>
      </c>
      <c r="J235" s="88"/>
      <c r="K235" s="88"/>
      <c r="L235" s="88"/>
    </row>
    <row r="236" spans="2:12" ht="12" customHeight="1">
      <c r="B236" s="398">
        <v>12</v>
      </c>
      <c r="C236" s="263" t="s">
        <v>167</v>
      </c>
      <c r="D236" s="180">
        <v>139.69999999999999</v>
      </c>
      <c r="E236" s="181">
        <v>95110</v>
      </c>
      <c r="F236" s="181">
        <f>'元データ表（積立金・補填金の差額）'!R237</f>
        <v>1656.0000000000002</v>
      </c>
      <c r="G236" s="569">
        <f t="shared" si="34"/>
        <v>96766</v>
      </c>
      <c r="H236" s="570">
        <f t="shared" si="39"/>
        <v>1.7411418357691097</v>
      </c>
      <c r="I236" s="571">
        <f t="shared" si="37"/>
        <v>141.44114183576909</v>
      </c>
      <c r="J236" s="88"/>
      <c r="K236" s="88"/>
      <c r="L236" s="88"/>
    </row>
    <row r="237" spans="2:12" s="313" customFormat="1" ht="12" customHeight="1">
      <c r="B237" s="531" t="s">
        <v>415</v>
      </c>
      <c r="C237" s="262" t="s">
        <v>416</v>
      </c>
      <c r="D237" s="550">
        <v>143.1</v>
      </c>
      <c r="E237" s="174">
        <v>97040</v>
      </c>
      <c r="F237" s="177">
        <f>'元データ表（積立金・補填金の差額）'!R238</f>
        <v>606</v>
      </c>
      <c r="G237" s="572">
        <f t="shared" ref="G237:G260" si="40">E237+F237</f>
        <v>97646</v>
      </c>
      <c r="H237" s="178">
        <f>F237/E237*100</f>
        <v>0.62448474855729597</v>
      </c>
      <c r="I237" s="179">
        <f>D237+H237</f>
        <v>143.7244847485573</v>
      </c>
      <c r="J237" s="551"/>
    </row>
    <row r="238" spans="2:12" s="313" customFormat="1" ht="12" customHeight="1">
      <c r="B238" s="531" t="s">
        <v>198</v>
      </c>
      <c r="C238" s="262" t="s">
        <v>198</v>
      </c>
      <c r="D238" s="550">
        <v>143.4</v>
      </c>
      <c r="E238" s="174">
        <v>97240</v>
      </c>
      <c r="F238" s="174">
        <f>'元データ表（積立金・補填金の差額）'!R239</f>
        <v>606</v>
      </c>
      <c r="G238" s="558">
        <f t="shared" si="40"/>
        <v>97846</v>
      </c>
      <c r="H238" s="556">
        <f>F238/E238*100</f>
        <v>0.62320032908268197</v>
      </c>
      <c r="I238" s="562">
        <f>D238+H238</f>
        <v>144.0232003290827</v>
      </c>
      <c r="J238" s="551"/>
    </row>
    <row r="239" spans="2:12" s="313" customFormat="1" ht="12" customHeight="1">
      <c r="B239" s="339">
        <v>3</v>
      </c>
      <c r="C239" s="262" t="s">
        <v>168</v>
      </c>
      <c r="D239" s="550">
        <v>143.30000000000001</v>
      </c>
      <c r="E239" s="174">
        <v>97230</v>
      </c>
      <c r="F239" s="174">
        <f>'元データ表（積立金・補填金の差額）'!R240</f>
        <v>606</v>
      </c>
      <c r="G239" s="558">
        <f t="shared" si="40"/>
        <v>97836</v>
      </c>
      <c r="H239" s="556">
        <f>F239/E239*100</f>
        <v>0.62326442456032083</v>
      </c>
      <c r="I239" s="562">
        <f t="shared" ref="I239:I248" si="41">D239+H239</f>
        <v>143.92326442456033</v>
      </c>
      <c r="J239" s="551"/>
    </row>
    <row r="240" spans="2:12" s="313" customFormat="1" ht="12" customHeight="1">
      <c r="B240" s="339">
        <v>4</v>
      </c>
      <c r="C240" s="262" t="s">
        <v>169</v>
      </c>
      <c r="D240" s="550">
        <v>137.4</v>
      </c>
      <c r="E240" s="174">
        <v>93180</v>
      </c>
      <c r="F240" s="174">
        <f>'元データ表（積立金・補填金の差額）'!R241</f>
        <v>806</v>
      </c>
      <c r="G240" s="558">
        <f t="shared" si="40"/>
        <v>93986</v>
      </c>
      <c r="H240" s="556">
        <f t="shared" ref="H240:H244" si="42">F240/E240*100</f>
        <v>0.86499248765829573</v>
      </c>
      <c r="I240" s="562">
        <f t="shared" si="41"/>
        <v>138.2649924876583</v>
      </c>
      <c r="J240" s="551"/>
    </row>
    <row r="241" spans="2:12" s="313" customFormat="1" ht="12" customHeight="1">
      <c r="B241" s="339">
        <v>5</v>
      </c>
      <c r="C241" s="262" t="s">
        <v>160</v>
      </c>
      <c r="D241" s="550">
        <v>137.19999999999999</v>
      </c>
      <c r="E241" s="174">
        <v>93050</v>
      </c>
      <c r="F241" s="174">
        <f>'元データ表（積立金・補填金の差額）'!R242</f>
        <v>806</v>
      </c>
      <c r="G241" s="558">
        <f t="shared" si="40"/>
        <v>93856</v>
      </c>
      <c r="H241" s="556">
        <f t="shared" si="42"/>
        <v>0.86620096722192375</v>
      </c>
      <c r="I241" s="562">
        <f t="shared" si="41"/>
        <v>138.0662009672219</v>
      </c>
      <c r="J241" s="551"/>
    </row>
    <row r="242" spans="2:12" s="313" customFormat="1" ht="12" customHeight="1">
      <c r="B242" s="339">
        <v>6</v>
      </c>
      <c r="C242" s="262" t="s">
        <v>161</v>
      </c>
      <c r="D242" s="550">
        <v>137.1</v>
      </c>
      <c r="E242" s="174">
        <v>93020</v>
      </c>
      <c r="F242" s="174">
        <f>'元データ表（積立金・補填金の差額）'!R243</f>
        <v>806</v>
      </c>
      <c r="G242" s="558">
        <f t="shared" si="40"/>
        <v>93826</v>
      </c>
      <c r="H242" s="556">
        <f t="shared" si="42"/>
        <v>0.86648032681143838</v>
      </c>
      <c r="I242" s="562">
        <f t="shared" si="41"/>
        <v>137.96648032681142</v>
      </c>
      <c r="J242" s="551"/>
    </row>
    <row r="243" spans="2:12" s="313" customFormat="1" ht="12" customHeight="1">
      <c r="B243" s="339">
        <v>7</v>
      </c>
      <c r="C243" s="262" t="s">
        <v>162</v>
      </c>
      <c r="D243" s="550">
        <v>140.30000000000001</v>
      </c>
      <c r="E243" s="174">
        <v>95190</v>
      </c>
      <c r="F243" s="174">
        <f>'元データ表（積立金・補填金の差額）'!R244</f>
        <v>806</v>
      </c>
      <c r="G243" s="558">
        <f t="shared" si="40"/>
        <v>95996</v>
      </c>
      <c r="H243" s="556">
        <f t="shared" si="42"/>
        <v>0.84672759743670556</v>
      </c>
      <c r="I243" s="562">
        <f t="shared" si="41"/>
        <v>141.14672759743672</v>
      </c>
      <c r="J243" s="551"/>
    </row>
    <row r="244" spans="2:12" s="313" customFormat="1" ht="12" customHeight="1">
      <c r="B244" s="339">
        <v>8</v>
      </c>
      <c r="C244" s="262" t="s">
        <v>163</v>
      </c>
      <c r="D244" s="550">
        <v>140.5</v>
      </c>
      <c r="E244" s="174">
        <v>95280</v>
      </c>
      <c r="F244" s="174">
        <f>'元データ表（積立金・補填金の差額）'!R245</f>
        <v>806</v>
      </c>
      <c r="G244" s="558">
        <f t="shared" si="40"/>
        <v>96086</v>
      </c>
      <c r="H244" s="556">
        <f t="shared" si="42"/>
        <v>0.84592779177162047</v>
      </c>
      <c r="I244" s="562">
        <f t="shared" si="41"/>
        <v>141.34592779177163</v>
      </c>
    </row>
    <row r="245" spans="2:12" s="313" customFormat="1" ht="12" customHeight="1">
      <c r="B245" s="339">
        <v>9</v>
      </c>
      <c r="C245" s="262" t="s">
        <v>164</v>
      </c>
      <c r="D245" s="550">
        <v>140.5</v>
      </c>
      <c r="E245" s="174">
        <v>95270</v>
      </c>
      <c r="F245" s="174">
        <f>'元データ表（積立金・補填金の差額）'!R246</f>
        <v>806</v>
      </c>
      <c r="G245" s="558">
        <f t="shared" si="40"/>
        <v>96076</v>
      </c>
      <c r="H245" s="556">
        <f>F245/E245*100</f>
        <v>0.84601658444421124</v>
      </c>
      <c r="I245" s="562">
        <f t="shared" si="41"/>
        <v>141.34601658444421</v>
      </c>
    </row>
    <row r="246" spans="2:12" s="313" customFormat="1" ht="12" customHeight="1">
      <c r="B246" s="339">
        <v>10</v>
      </c>
      <c r="C246" s="262" t="s">
        <v>165</v>
      </c>
      <c r="D246" s="550">
        <v>134.19999999999999</v>
      </c>
      <c r="E246" s="174">
        <v>91010</v>
      </c>
      <c r="F246" s="174">
        <f>'元データ表（積立金・補填金の差額）'!R247</f>
        <v>806</v>
      </c>
      <c r="G246" s="558">
        <f t="shared" si="40"/>
        <v>91816</v>
      </c>
      <c r="H246" s="556">
        <f t="shared" ref="H246:H248" si="43">F246/E246*100</f>
        <v>0.88561696516866273</v>
      </c>
      <c r="I246" s="562">
        <f t="shared" si="41"/>
        <v>135.08561696516864</v>
      </c>
      <c r="L246" s="88"/>
    </row>
    <row r="247" spans="2:12" ht="12" customHeight="1">
      <c r="B247" s="339">
        <v>11</v>
      </c>
      <c r="C247" s="262" t="s">
        <v>166</v>
      </c>
      <c r="D247" s="550">
        <v>133.9</v>
      </c>
      <c r="E247" s="174">
        <v>90840</v>
      </c>
      <c r="F247" s="174">
        <f>'元データ表（積立金・補填金の差額）'!R248</f>
        <v>806</v>
      </c>
      <c r="G247" s="558">
        <f t="shared" si="40"/>
        <v>91646</v>
      </c>
      <c r="H247" s="556">
        <f t="shared" si="43"/>
        <v>0.88727432848965215</v>
      </c>
      <c r="I247" s="562">
        <f t="shared" si="41"/>
        <v>134.78727432848964</v>
      </c>
      <c r="J247" s="88"/>
      <c r="K247" s="88"/>
      <c r="L247" s="88"/>
    </row>
    <row r="248" spans="2:12" ht="12" customHeight="1">
      <c r="B248" s="286">
        <v>12</v>
      </c>
      <c r="C248" s="267" t="s">
        <v>167</v>
      </c>
      <c r="D248" s="587">
        <v>133.9</v>
      </c>
      <c r="E248" s="184">
        <v>90850</v>
      </c>
      <c r="F248" s="184">
        <f>'元データ表（積立金・補填金の差額）'!R249</f>
        <v>806</v>
      </c>
      <c r="G248" s="588">
        <f t="shared" si="40"/>
        <v>91656</v>
      </c>
      <c r="H248" s="589">
        <f t="shared" si="43"/>
        <v>0.88717666483214086</v>
      </c>
      <c r="I248" s="590">
        <f t="shared" si="41"/>
        <v>134.78717666483215</v>
      </c>
      <c r="J248" s="88"/>
      <c r="K248" s="88"/>
      <c r="L248" s="88"/>
    </row>
    <row r="249" spans="2:12" s="313" customFormat="1" ht="12" customHeight="1">
      <c r="B249" s="531" t="s">
        <v>417</v>
      </c>
      <c r="C249" s="262" t="s">
        <v>418</v>
      </c>
      <c r="D249" s="550">
        <v>136.30000000000001</v>
      </c>
      <c r="E249" s="174">
        <v>92480</v>
      </c>
      <c r="F249" s="170">
        <v>806</v>
      </c>
      <c r="G249" s="628">
        <f t="shared" si="40"/>
        <v>93286</v>
      </c>
      <c r="H249" s="171">
        <f>F249/E249*100</f>
        <v>0.8715397923875432</v>
      </c>
      <c r="I249" s="172">
        <f>D249+H249</f>
        <v>137.17153979238756</v>
      </c>
      <c r="J249" s="551"/>
    </row>
    <row r="250" spans="2:12" s="313" customFormat="1" ht="12" customHeight="1">
      <c r="B250" s="531" t="s">
        <v>423</v>
      </c>
      <c r="C250" s="262" t="s">
        <v>423</v>
      </c>
      <c r="D250" s="550">
        <v>136.6</v>
      </c>
      <c r="E250" s="174">
        <v>92670</v>
      </c>
      <c r="F250" s="174">
        <v>806</v>
      </c>
      <c r="G250" s="558">
        <f t="shared" si="40"/>
        <v>93476</v>
      </c>
      <c r="H250" s="556">
        <f>F250/E250*100</f>
        <v>0.86975288658681338</v>
      </c>
      <c r="I250" s="562">
        <f>D250+H250</f>
        <v>137.4697528865868</v>
      </c>
      <c r="J250" s="551"/>
    </row>
    <row r="251" spans="2:12" s="313" customFormat="1" ht="12" customHeight="1">
      <c r="B251" s="531" t="s">
        <v>168</v>
      </c>
      <c r="C251" s="262" t="s">
        <v>168</v>
      </c>
      <c r="D251" s="629"/>
      <c r="E251" s="630"/>
      <c r="F251" s="630">
        <v>806</v>
      </c>
      <c r="G251" s="631">
        <f t="shared" si="40"/>
        <v>806</v>
      </c>
      <c r="H251" s="597" t="e">
        <f>F251/E251*100</f>
        <v>#DIV/0!</v>
      </c>
      <c r="I251" s="632" t="e">
        <f t="shared" ref="I251:I260" si="44">D251+H251</f>
        <v>#DIV/0!</v>
      </c>
      <c r="J251" s="551"/>
    </row>
    <row r="252" spans="2:12" s="313" customFormat="1" ht="12" customHeight="1">
      <c r="B252" s="531" t="s">
        <v>424</v>
      </c>
      <c r="C252" s="262" t="s">
        <v>424</v>
      </c>
      <c r="D252" s="629"/>
      <c r="E252" s="630"/>
      <c r="F252" s="630">
        <v>6</v>
      </c>
      <c r="G252" s="631">
        <f t="shared" si="40"/>
        <v>6</v>
      </c>
      <c r="H252" s="597" t="e">
        <f t="shared" ref="H252:H256" si="45">F252/E252*100</f>
        <v>#DIV/0!</v>
      </c>
      <c r="I252" s="632" t="e">
        <f t="shared" si="44"/>
        <v>#DIV/0!</v>
      </c>
      <c r="J252" s="551"/>
    </row>
    <row r="253" spans="2:12" s="313" customFormat="1" ht="12" customHeight="1">
      <c r="B253" s="531" t="s">
        <v>160</v>
      </c>
      <c r="C253" s="262" t="s">
        <v>160</v>
      </c>
      <c r="D253" s="629"/>
      <c r="E253" s="630"/>
      <c r="F253" s="630">
        <v>6</v>
      </c>
      <c r="G253" s="631">
        <f t="shared" si="40"/>
        <v>6</v>
      </c>
      <c r="H253" s="597" t="e">
        <f t="shared" si="45"/>
        <v>#DIV/0!</v>
      </c>
      <c r="I253" s="632" t="e">
        <f t="shared" si="44"/>
        <v>#DIV/0!</v>
      </c>
      <c r="J253" s="551"/>
    </row>
    <row r="254" spans="2:12" s="313" customFormat="1" ht="12" customHeight="1">
      <c r="B254" s="531" t="s">
        <v>161</v>
      </c>
      <c r="C254" s="262" t="s">
        <v>161</v>
      </c>
      <c r="D254" s="629"/>
      <c r="E254" s="630"/>
      <c r="F254" s="630">
        <v>6</v>
      </c>
      <c r="G254" s="631">
        <f t="shared" si="40"/>
        <v>6</v>
      </c>
      <c r="H254" s="597" t="e">
        <f t="shared" si="45"/>
        <v>#DIV/0!</v>
      </c>
      <c r="I254" s="632" t="e">
        <f t="shared" si="44"/>
        <v>#DIV/0!</v>
      </c>
      <c r="J254" s="551"/>
    </row>
    <row r="255" spans="2:12" s="313" customFormat="1" ht="12" customHeight="1">
      <c r="B255" s="531" t="s">
        <v>425</v>
      </c>
      <c r="C255" s="262" t="s">
        <v>425</v>
      </c>
      <c r="D255" s="629"/>
      <c r="E255" s="630"/>
      <c r="F255" s="630">
        <v>6</v>
      </c>
      <c r="G255" s="631">
        <f t="shared" si="40"/>
        <v>6</v>
      </c>
      <c r="H255" s="597" t="e">
        <f t="shared" si="45"/>
        <v>#DIV/0!</v>
      </c>
      <c r="I255" s="632" t="e">
        <f t="shared" si="44"/>
        <v>#DIV/0!</v>
      </c>
      <c r="J255" s="551"/>
    </row>
    <row r="256" spans="2:12" s="313" customFormat="1" ht="12" customHeight="1">
      <c r="B256" s="531" t="s">
        <v>426</v>
      </c>
      <c r="C256" s="262" t="s">
        <v>426</v>
      </c>
      <c r="D256" s="629"/>
      <c r="E256" s="630"/>
      <c r="F256" s="630">
        <v>6</v>
      </c>
      <c r="G256" s="631">
        <f t="shared" si="40"/>
        <v>6</v>
      </c>
      <c r="H256" s="597" t="e">
        <f t="shared" si="45"/>
        <v>#DIV/0!</v>
      </c>
      <c r="I256" s="632" t="e">
        <f t="shared" si="44"/>
        <v>#DIV/0!</v>
      </c>
    </row>
    <row r="257" spans="2:12" s="313" customFormat="1" ht="12" customHeight="1">
      <c r="B257" s="531" t="s">
        <v>164</v>
      </c>
      <c r="C257" s="262" t="s">
        <v>164</v>
      </c>
      <c r="D257" s="629"/>
      <c r="E257" s="630"/>
      <c r="F257" s="630">
        <v>6</v>
      </c>
      <c r="G257" s="631">
        <f t="shared" si="40"/>
        <v>6</v>
      </c>
      <c r="H257" s="597" t="e">
        <f>F257/E257*100</f>
        <v>#DIV/0!</v>
      </c>
      <c r="I257" s="632" t="e">
        <f t="shared" si="44"/>
        <v>#DIV/0!</v>
      </c>
    </row>
    <row r="258" spans="2:12" s="313" customFormat="1" ht="12" customHeight="1">
      <c r="B258" s="531" t="s">
        <v>165</v>
      </c>
      <c r="C258" s="262" t="s">
        <v>165</v>
      </c>
      <c r="D258" s="629"/>
      <c r="E258" s="630"/>
      <c r="F258" s="630">
        <v>6</v>
      </c>
      <c r="G258" s="631">
        <f t="shared" si="40"/>
        <v>6</v>
      </c>
      <c r="H258" s="597" t="e">
        <f t="shared" ref="H258:H260" si="46">F258/E258*100</f>
        <v>#DIV/0!</v>
      </c>
      <c r="I258" s="632" t="e">
        <f t="shared" si="44"/>
        <v>#DIV/0!</v>
      </c>
      <c r="L258" s="88"/>
    </row>
    <row r="259" spans="2:12" ht="12" customHeight="1">
      <c r="B259" s="531" t="s">
        <v>166</v>
      </c>
      <c r="C259" s="262" t="s">
        <v>166</v>
      </c>
      <c r="D259" s="629"/>
      <c r="E259" s="630"/>
      <c r="F259" s="630">
        <v>6</v>
      </c>
      <c r="G259" s="631">
        <f t="shared" si="40"/>
        <v>6</v>
      </c>
      <c r="H259" s="597" t="e">
        <f t="shared" si="46"/>
        <v>#DIV/0!</v>
      </c>
      <c r="I259" s="632" t="e">
        <f t="shared" si="44"/>
        <v>#DIV/0!</v>
      </c>
      <c r="J259" s="88"/>
      <c r="K259" s="88"/>
      <c r="L259" s="88"/>
    </row>
    <row r="260" spans="2:12" ht="12" customHeight="1">
      <c r="B260" s="452" t="s">
        <v>167</v>
      </c>
      <c r="C260" s="267" t="s">
        <v>167</v>
      </c>
      <c r="D260" s="633"/>
      <c r="E260" s="634"/>
      <c r="F260" s="634">
        <v>6</v>
      </c>
      <c r="G260" s="635">
        <f t="shared" si="40"/>
        <v>6</v>
      </c>
      <c r="H260" s="636" t="e">
        <f t="shared" si="46"/>
        <v>#DIV/0!</v>
      </c>
      <c r="I260" s="637" t="e">
        <f t="shared" si="44"/>
        <v>#DIV/0!</v>
      </c>
      <c r="J260" s="88"/>
      <c r="K260" s="88"/>
      <c r="L260" s="88"/>
    </row>
    <row r="261" spans="2:12" ht="12" customHeight="1">
      <c r="B261" s="87" t="s">
        <v>289</v>
      </c>
      <c r="C261" s="203"/>
      <c r="D261" s="185"/>
      <c r="E261" s="186"/>
      <c r="F261" s="186"/>
      <c r="G261" s="186"/>
      <c r="H261" s="185"/>
      <c r="I261" s="185"/>
    </row>
    <row r="262" spans="2:12" ht="12" customHeight="1">
      <c r="B262" s="187" t="s">
        <v>299</v>
      </c>
      <c r="C262" s="187"/>
      <c r="D262" s="188"/>
      <c r="E262" s="189"/>
      <c r="F262" s="189"/>
      <c r="G262" s="189"/>
    </row>
    <row r="263" spans="2:12" ht="12" customHeight="1">
      <c r="B263" s="191" t="s">
        <v>300</v>
      </c>
      <c r="C263" s="87"/>
      <c r="D263" s="87"/>
      <c r="E263" s="192"/>
      <c r="F263" s="192"/>
      <c r="G263" s="192"/>
      <c r="H263" s="87"/>
    </row>
    <row r="264" spans="2:12" ht="12" customHeight="1">
      <c r="B264" s="87" t="s">
        <v>301</v>
      </c>
      <c r="D264" s="193"/>
      <c r="E264" s="194"/>
      <c r="F264" s="194"/>
      <c r="G264" s="194"/>
      <c r="H264" s="87"/>
    </row>
    <row r="265" spans="2:12" ht="12" customHeight="1">
      <c r="B265" s="87" t="s">
        <v>302</v>
      </c>
      <c r="D265" s="193"/>
      <c r="E265" s="194"/>
      <c r="F265" s="194"/>
      <c r="G265" s="194"/>
      <c r="H265" s="87"/>
    </row>
    <row r="266" spans="2:12" ht="12" customHeight="1">
      <c r="B266" s="87" t="s">
        <v>303</v>
      </c>
      <c r="D266" s="193"/>
      <c r="E266" s="194"/>
      <c r="F266" s="194"/>
      <c r="G266" s="194"/>
      <c r="H266" s="87"/>
    </row>
    <row r="267" spans="2:12" ht="12" customHeight="1">
      <c r="B267" s="87" t="s">
        <v>304</v>
      </c>
      <c r="D267" s="195"/>
      <c r="E267" s="196"/>
      <c r="F267" s="196"/>
      <c r="G267" s="196"/>
      <c r="H267" s="87"/>
    </row>
    <row r="268" spans="2:12" ht="12" customHeight="1">
      <c r="B268" s="87" t="s">
        <v>305</v>
      </c>
      <c r="D268" s="197"/>
      <c r="E268" s="198"/>
      <c r="F268" s="198"/>
      <c r="G268" s="198"/>
      <c r="H268" s="87"/>
    </row>
    <row r="269" spans="2:12" ht="12" customHeight="1">
      <c r="B269" s="193" t="s">
        <v>368</v>
      </c>
      <c r="C269" s="197"/>
      <c r="D269" s="199"/>
      <c r="E269" s="200"/>
      <c r="F269" s="200"/>
      <c r="G269" s="200"/>
      <c r="H269" s="87"/>
    </row>
    <row r="270" spans="2:12" ht="12" customHeight="1">
      <c r="B270" s="193" t="s">
        <v>413</v>
      </c>
      <c r="C270" s="88"/>
      <c r="D270" s="88"/>
      <c r="E270" s="88"/>
      <c r="F270" s="88"/>
      <c r="G270" s="88"/>
      <c r="H270" s="88"/>
      <c r="I270" s="88"/>
    </row>
    <row r="271" spans="2:12" ht="12" customHeight="1">
      <c r="B271" s="193"/>
      <c r="C271" s="88"/>
      <c r="D271" s="88"/>
      <c r="E271" s="88"/>
      <c r="F271" s="88"/>
      <c r="G271" s="88"/>
      <c r="H271" s="88"/>
      <c r="I271" s="88"/>
    </row>
    <row r="272" spans="2:12" ht="12" customHeight="1">
      <c r="B272" s="88"/>
      <c r="C272" s="88"/>
      <c r="D272" s="88"/>
      <c r="E272" s="88"/>
      <c r="F272" s="88"/>
      <c r="G272" s="88"/>
      <c r="H272" s="88"/>
      <c r="I272" s="88"/>
    </row>
    <row r="273" spans="2:9" ht="12" customHeight="1">
      <c r="B273" s="88"/>
      <c r="C273" s="88"/>
      <c r="D273" s="88"/>
      <c r="E273" s="88"/>
      <c r="F273" s="88"/>
      <c r="G273" s="88"/>
      <c r="H273" s="88"/>
      <c r="I273" s="88"/>
    </row>
    <row r="274" spans="2:9" ht="12" customHeight="1">
      <c r="B274" s="88"/>
      <c r="C274" s="88"/>
      <c r="D274" s="88"/>
      <c r="E274" s="88"/>
      <c r="F274" s="88"/>
      <c r="G274" s="88"/>
      <c r="H274" s="88"/>
      <c r="I274" s="88"/>
    </row>
    <row r="275" spans="2:9" ht="12" customHeight="1">
      <c r="B275" s="88"/>
      <c r="C275" s="88"/>
      <c r="D275" s="88"/>
      <c r="E275" s="88"/>
      <c r="F275" s="88"/>
      <c r="G275" s="88"/>
      <c r="H275" s="88"/>
      <c r="I275" s="88"/>
    </row>
    <row r="276" spans="2:9" ht="12" customHeight="1">
      <c r="B276" s="202"/>
    </row>
    <row r="277" spans="2:9" ht="12" customHeight="1">
      <c r="I277" s="89" t="str">
        <f>'元データ表（DATA1）'!T210</f>
        <v>毎月1回更新、最優更新日2025/4/18</v>
      </c>
    </row>
  </sheetData>
  <mergeCells count="8">
    <mergeCell ref="B5:C8"/>
    <mergeCell ref="D5:I5"/>
    <mergeCell ref="D6:D8"/>
    <mergeCell ref="E6:E8"/>
    <mergeCell ref="F6:F8"/>
    <mergeCell ref="G6:G8"/>
    <mergeCell ref="H6:H8"/>
    <mergeCell ref="I6:I8"/>
  </mergeCells>
  <phoneticPr fontId="2"/>
  <pageMargins left="0.59055118110236227" right="0" top="0.59055118110236227" bottom="0" header="0.31496062992125984" footer="0.31496062992125984"/>
  <pageSetup paperSize="9" orientation="portrait" horizontalDpi="4294967294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276"/>
  <sheetViews>
    <sheetView showGridLines="0" zoomScale="80" zoomScaleNormal="80" workbookViewId="0">
      <pane xSplit="3" ySplit="9" topLeftCell="D243" activePane="bottomRight" state="frozen"/>
      <selection pane="topRight" activeCell="D1" sqref="D1"/>
      <selection pane="bottomLeft" activeCell="A10" sqref="A10"/>
      <selection pane="bottomRight" activeCell="K279" sqref="K279"/>
    </sheetView>
  </sheetViews>
  <sheetFormatPr defaultColWidth="7.625" defaultRowHeight="12" customHeight="1"/>
  <cols>
    <col min="1" max="1" width="5.625" style="88" customWidth="1"/>
    <col min="2" max="2" width="7.625" style="88" customWidth="1"/>
    <col min="3" max="18" width="10.625" style="88" customWidth="1"/>
    <col min="19" max="20" width="7.875" style="88" bestFit="1" customWidth="1"/>
    <col min="21" max="16384" width="7.625" style="88"/>
  </cols>
  <sheetData>
    <row r="2" spans="1:18" s="204" customFormat="1" ht="15" customHeight="1">
      <c r="B2" s="702" t="s">
        <v>360</v>
      </c>
      <c r="C2" s="702"/>
      <c r="D2" s="702"/>
      <c r="E2" s="702"/>
      <c r="F2" s="702"/>
      <c r="G2" s="702"/>
      <c r="H2" s="702"/>
      <c r="I2" s="702"/>
      <c r="J2" s="702"/>
      <c r="K2" s="702"/>
      <c r="L2" s="702"/>
      <c r="M2" s="702"/>
      <c r="N2" s="702"/>
      <c r="O2" s="702"/>
      <c r="P2" s="702"/>
      <c r="Q2" s="702"/>
    </row>
    <row r="3" spans="1:18" s="204" customFormat="1" ht="12" customHeight="1">
      <c r="B3" s="164"/>
      <c r="C3" s="205"/>
      <c r="D3" s="205"/>
      <c r="E3" s="205"/>
      <c r="F3" s="205"/>
      <c r="G3" s="205"/>
      <c r="H3" s="205"/>
      <c r="I3" s="205"/>
      <c r="J3" s="205"/>
      <c r="K3" s="205"/>
      <c r="L3" s="205"/>
    </row>
    <row r="4" spans="1:18" ht="12" customHeight="1"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R4" s="89" t="s">
        <v>123</v>
      </c>
    </row>
    <row r="5" spans="1:18" ht="12" customHeight="1">
      <c r="B5" s="703" t="s">
        <v>170</v>
      </c>
      <c r="C5" s="704"/>
      <c r="D5" s="667" t="s">
        <v>124</v>
      </c>
      <c r="E5" s="668"/>
      <c r="F5" s="668"/>
      <c r="G5" s="668" t="s">
        <v>125</v>
      </c>
      <c r="H5" s="668"/>
      <c r="I5" s="668"/>
      <c r="J5" s="709" t="s">
        <v>126</v>
      </c>
      <c r="K5" s="709"/>
      <c r="L5" s="709"/>
      <c r="M5" s="710" t="s">
        <v>127</v>
      </c>
      <c r="N5" s="710"/>
      <c r="O5" s="710"/>
      <c r="P5" s="711" t="s">
        <v>128</v>
      </c>
      <c r="Q5" s="711" t="s">
        <v>129</v>
      </c>
      <c r="R5" s="714" t="s">
        <v>130</v>
      </c>
    </row>
    <row r="6" spans="1:18" ht="12" customHeight="1">
      <c r="B6" s="705"/>
      <c r="C6" s="706"/>
      <c r="D6" s="651" t="s">
        <v>131</v>
      </c>
      <c r="E6" s="641" t="s">
        <v>132</v>
      </c>
      <c r="F6" s="641" t="s">
        <v>133</v>
      </c>
      <c r="G6" s="641" t="s">
        <v>131</v>
      </c>
      <c r="H6" s="641" t="s">
        <v>132</v>
      </c>
      <c r="I6" s="641" t="s">
        <v>133</v>
      </c>
      <c r="J6" s="712" t="s">
        <v>131</v>
      </c>
      <c r="K6" s="712" t="s">
        <v>132</v>
      </c>
      <c r="L6" s="712" t="s">
        <v>133</v>
      </c>
      <c r="M6" s="712" t="s">
        <v>131</v>
      </c>
      <c r="N6" s="712" t="s">
        <v>132</v>
      </c>
      <c r="O6" s="712" t="s">
        <v>133</v>
      </c>
      <c r="P6" s="650"/>
      <c r="Q6" s="650"/>
      <c r="R6" s="679"/>
    </row>
    <row r="7" spans="1:18" ht="12" customHeight="1">
      <c r="B7" s="705"/>
      <c r="C7" s="706"/>
      <c r="D7" s="651"/>
      <c r="E7" s="641"/>
      <c r="F7" s="641"/>
      <c r="G7" s="641"/>
      <c r="H7" s="641"/>
      <c r="I7" s="641"/>
      <c r="J7" s="712"/>
      <c r="K7" s="712"/>
      <c r="L7" s="712"/>
      <c r="M7" s="712"/>
      <c r="N7" s="712"/>
      <c r="O7" s="712"/>
      <c r="P7" s="650"/>
      <c r="Q7" s="650"/>
      <c r="R7" s="679"/>
    </row>
    <row r="8" spans="1:18" ht="12" customHeight="1">
      <c r="B8" s="705"/>
      <c r="C8" s="706"/>
      <c r="D8" s="651"/>
      <c r="E8" s="641"/>
      <c r="F8" s="641"/>
      <c r="G8" s="641"/>
      <c r="H8" s="641"/>
      <c r="I8" s="641"/>
      <c r="J8" s="712"/>
      <c r="K8" s="712"/>
      <c r="L8" s="712"/>
      <c r="M8" s="712"/>
      <c r="N8" s="712"/>
      <c r="O8" s="712"/>
      <c r="P8" s="650"/>
      <c r="Q8" s="650"/>
      <c r="R8" s="679"/>
    </row>
    <row r="9" spans="1:18" ht="12" customHeight="1">
      <c r="B9" s="707"/>
      <c r="C9" s="708"/>
      <c r="D9" s="716"/>
      <c r="E9" s="717"/>
      <c r="F9" s="717"/>
      <c r="G9" s="717"/>
      <c r="H9" s="717"/>
      <c r="I9" s="717"/>
      <c r="J9" s="713"/>
      <c r="K9" s="713"/>
      <c r="L9" s="713"/>
      <c r="M9" s="713"/>
      <c r="N9" s="713"/>
      <c r="O9" s="713"/>
      <c r="P9" s="661"/>
      <c r="Q9" s="661"/>
      <c r="R9" s="715"/>
    </row>
    <row r="10" spans="1:18" ht="12" hidden="1" customHeight="1">
      <c r="B10" s="278">
        <v>38353</v>
      </c>
      <c r="C10" s="279" t="s">
        <v>266</v>
      </c>
      <c r="D10" s="230">
        <v>500</v>
      </c>
      <c r="E10" s="170">
        <v>500</v>
      </c>
      <c r="F10" s="170">
        <v>500</v>
      </c>
      <c r="G10" s="170">
        <v>0</v>
      </c>
      <c r="H10" s="170">
        <v>0</v>
      </c>
      <c r="I10" s="170">
        <v>0</v>
      </c>
      <c r="J10" s="170">
        <f>D10+G10</f>
        <v>500</v>
      </c>
      <c r="K10" s="170">
        <f t="shared" ref="K10:L25" si="0">E10+H10</f>
        <v>500</v>
      </c>
      <c r="L10" s="170">
        <f t="shared" si="0"/>
        <v>500</v>
      </c>
      <c r="M10" s="231">
        <v>33.333333333333336</v>
      </c>
      <c r="N10" s="231">
        <v>33.333333333333336</v>
      </c>
      <c r="O10" s="231">
        <v>33.333333333333336</v>
      </c>
      <c r="P10" s="231">
        <f>(J10*M10+K10*N10+L10*O10)/100</f>
        <v>500</v>
      </c>
      <c r="Q10" s="231">
        <f>$J$269</f>
        <v>-6</v>
      </c>
      <c r="R10" s="232">
        <f>P10-Q10</f>
        <v>506</v>
      </c>
    </row>
    <row r="11" spans="1:18" ht="12" hidden="1" customHeight="1">
      <c r="B11" s="280">
        <v>2</v>
      </c>
      <c r="C11" s="270" t="s">
        <v>319</v>
      </c>
      <c r="D11" s="209">
        <v>500</v>
      </c>
      <c r="E11" s="174">
        <v>500</v>
      </c>
      <c r="F11" s="174">
        <v>500</v>
      </c>
      <c r="G11" s="174">
        <v>0</v>
      </c>
      <c r="H11" s="174">
        <v>0</v>
      </c>
      <c r="I11" s="174">
        <v>0</v>
      </c>
      <c r="J11" s="174">
        <f t="shared" ref="J11:L34" si="1">D11+G11</f>
        <v>500</v>
      </c>
      <c r="K11" s="174">
        <f t="shared" si="0"/>
        <v>500</v>
      </c>
      <c r="L11" s="174">
        <f t="shared" si="0"/>
        <v>500</v>
      </c>
      <c r="M11" s="233">
        <v>33.333333333333336</v>
      </c>
      <c r="N11" s="233">
        <v>33.333333333333336</v>
      </c>
      <c r="O11" s="233">
        <v>33.333333333333336</v>
      </c>
      <c r="P11" s="233">
        <f t="shared" ref="P11:P74" si="2">(J11*M11+K11*N11+L11*O11)/100</f>
        <v>500</v>
      </c>
      <c r="Q11" s="233">
        <f t="shared" ref="Q11:Q74" si="3">$J$269</f>
        <v>-6</v>
      </c>
      <c r="R11" s="234">
        <f t="shared" ref="R11:R74" si="4">P11-Q11</f>
        <v>506</v>
      </c>
    </row>
    <row r="12" spans="1:18" ht="12" hidden="1" customHeight="1">
      <c r="B12" s="280">
        <v>3</v>
      </c>
      <c r="C12" s="270" t="s">
        <v>168</v>
      </c>
      <c r="D12" s="209">
        <v>500</v>
      </c>
      <c r="E12" s="174">
        <v>500</v>
      </c>
      <c r="F12" s="174">
        <v>500</v>
      </c>
      <c r="G12" s="174">
        <v>0</v>
      </c>
      <c r="H12" s="174">
        <v>0</v>
      </c>
      <c r="I12" s="174">
        <v>0</v>
      </c>
      <c r="J12" s="174">
        <f t="shared" si="1"/>
        <v>500</v>
      </c>
      <c r="K12" s="174">
        <f t="shared" si="0"/>
        <v>500</v>
      </c>
      <c r="L12" s="174">
        <f t="shared" si="0"/>
        <v>500</v>
      </c>
      <c r="M12" s="233">
        <v>33.333333333333336</v>
      </c>
      <c r="N12" s="233">
        <v>33.333333333333336</v>
      </c>
      <c r="O12" s="233">
        <v>33.333333333333336</v>
      </c>
      <c r="P12" s="233">
        <f t="shared" si="2"/>
        <v>500</v>
      </c>
      <c r="Q12" s="233">
        <f t="shared" si="3"/>
        <v>-6</v>
      </c>
      <c r="R12" s="234">
        <f t="shared" si="4"/>
        <v>506</v>
      </c>
    </row>
    <row r="13" spans="1:18" ht="12" hidden="1" customHeight="1">
      <c r="A13" s="207"/>
      <c r="B13" s="280">
        <v>4</v>
      </c>
      <c r="C13" s="270" t="s">
        <v>169</v>
      </c>
      <c r="D13" s="209">
        <v>500</v>
      </c>
      <c r="E13" s="174">
        <v>500</v>
      </c>
      <c r="F13" s="174">
        <v>500</v>
      </c>
      <c r="G13" s="174">
        <v>0</v>
      </c>
      <c r="H13" s="174">
        <v>0</v>
      </c>
      <c r="I13" s="174">
        <v>0</v>
      </c>
      <c r="J13" s="174">
        <f t="shared" si="1"/>
        <v>500</v>
      </c>
      <c r="K13" s="174">
        <f t="shared" si="0"/>
        <v>500</v>
      </c>
      <c r="L13" s="174">
        <f t="shared" si="0"/>
        <v>500</v>
      </c>
      <c r="M13" s="233">
        <v>33.333333333333336</v>
      </c>
      <c r="N13" s="233">
        <v>33.333333333333336</v>
      </c>
      <c r="O13" s="233">
        <v>33.333333333333336</v>
      </c>
      <c r="P13" s="233">
        <f t="shared" si="2"/>
        <v>500</v>
      </c>
      <c r="Q13" s="233">
        <f t="shared" si="3"/>
        <v>-6</v>
      </c>
      <c r="R13" s="234">
        <f t="shared" si="4"/>
        <v>506</v>
      </c>
    </row>
    <row r="14" spans="1:18" ht="12" hidden="1" customHeight="1">
      <c r="A14" s="211"/>
      <c r="B14" s="280">
        <v>5</v>
      </c>
      <c r="C14" s="270" t="s">
        <v>160</v>
      </c>
      <c r="D14" s="209">
        <v>500</v>
      </c>
      <c r="E14" s="174">
        <v>500</v>
      </c>
      <c r="F14" s="174">
        <v>500</v>
      </c>
      <c r="G14" s="174">
        <v>0</v>
      </c>
      <c r="H14" s="174">
        <v>0</v>
      </c>
      <c r="I14" s="174">
        <v>0</v>
      </c>
      <c r="J14" s="174">
        <f t="shared" si="1"/>
        <v>500</v>
      </c>
      <c r="K14" s="174">
        <f t="shared" si="0"/>
        <v>500</v>
      </c>
      <c r="L14" s="174">
        <f t="shared" si="0"/>
        <v>500</v>
      </c>
      <c r="M14" s="233">
        <v>33.333333333333336</v>
      </c>
      <c r="N14" s="233">
        <v>33.333333333333336</v>
      </c>
      <c r="O14" s="233">
        <v>33.333333333333336</v>
      </c>
      <c r="P14" s="233">
        <f t="shared" si="2"/>
        <v>500</v>
      </c>
      <c r="Q14" s="233">
        <f t="shared" si="3"/>
        <v>-6</v>
      </c>
      <c r="R14" s="234">
        <f t="shared" si="4"/>
        <v>506</v>
      </c>
    </row>
    <row r="15" spans="1:18" ht="12" hidden="1" customHeight="1">
      <c r="A15" s="211"/>
      <c r="B15" s="280">
        <v>6</v>
      </c>
      <c r="C15" s="270" t="s">
        <v>161</v>
      </c>
      <c r="D15" s="209">
        <v>500</v>
      </c>
      <c r="E15" s="174">
        <v>500</v>
      </c>
      <c r="F15" s="174">
        <v>500</v>
      </c>
      <c r="G15" s="174">
        <v>0</v>
      </c>
      <c r="H15" s="174">
        <v>0</v>
      </c>
      <c r="I15" s="174">
        <v>0</v>
      </c>
      <c r="J15" s="174">
        <f t="shared" si="1"/>
        <v>500</v>
      </c>
      <c r="K15" s="174">
        <f t="shared" si="0"/>
        <v>500</v>
      </c>
      <c r="L15" s="174">
        <f t="shared" si="0"/>
        <v>500</v>
      </c>
      <c r="M15" s="233">
        <v>33.333333333333336</v>
      </c>
      <c r="N15" s="233">
        <v>33.333333333333336</v>
      </c>
      <c r="O15" s="233">
        <v>33.333333333333336</v>
      </c>
      <c r="P15" s="233">
        <f t="shared" si="2"/>
        <v>500</v>
      </c>
      <c r="Q15" s="233">
        <f t="shared" si="3"/>
        <v>-6</v>
      </c>
      <c r="R15" s="234">
        <f t="shared" si="4"/>
        <v>506</v>
      </c>
    </row>
    <row r="16" spans="1:18" ht="12" hidden="1" customHeight="1">
      <c r="A16" s="207"/>
      <c r="B16" s="280">
        <v>7</v>
      </c>
      <c r="C16" s="270" t="s">
        <v>162</v>
      </c>
      <c r="D16" s="209">
        <v>500</v>
      </c>
      <c r="E16" s="174">
        <v>500</v>
      </c>
      <c r="F16" s="174">
        <v>500</v>
      </c>
      <c r="G16" s="174">
        <v>0</v>
      </c>
      <c r="H16" s="174">
        <v>0</v>
      </c>
      <c r="I16" s="174">
        <v>0</v>
      </c>
      <c r="J16" s="174">
        <f t="shared" si="1"/>
        <v>500</v>
      </c>
      <c r="K16" s="174">
        <f t="shared" si="0"/>
        <v>500</v>
      </c>
      <c r="L16" s="174">
        <f t="shared" si="0"/>
        <v>500</v>
      </c>
      <c r="M16" s="233">
        <v>33.333333333333336</v>
      </c>
      <c r="N16" s="233">
        <v>33.333333333333336</v>
      </c>
      <c r="O16" s="233">
        <v>33.333333333333336</v>
      </c>
      <c r="P16" s="233">
        <f t="shared" si="2"/>
        <v>500</v>
      </c>
      <c r="Q16" s="233">
        <f t="shared" si="3"/>
        <v>-6</v>
      </c>
      <c r="R16" s="234">
        <f t="shared" si="4"/>
        <v>506</v>
      </c>
    </row>
    <row r="17" spans="1:18" ht="12" hidden="1" customHeight="1">
      <c r="A17" s="211"/>
      <c r="B17" s="280">
        <v>8</v>
      </c>
      <c r="C17" s="270" t="s">
        <v>163</v>
      </c>
      <c r="D17" s="209">
        <v>500</v>
      </c>
      <c r="E17" s="174">
        <v>500</v>
      </c>
      <c r="F17" s="174">
        <v>500</v>
      </c>
      <c r="G17" s="174">
        <v>0</v>
      </c>
      <c r="H17" s="174">
        <v>0</v>
      </c>
      <c r="I17" s="174">
        <v>0</v>
      </c>
      <c r="J17" s="174">
        <f t="shared" si="1"/>
        <v>500</v>
      </c>
      <c r="K17" s="174">
        <f t="shared" si="0"/>
        <v>500</v>
      </c>
      <c r="L17" s="174">
        <f t="shared" si="0"/>
        <v>500</v>
      </c>
      <c r="M17" s="233">
        <v>33.333333333333336</v>
      </c>
      <c r="N17" s="233">
        <v>33.333333333333336</v>
      </c>
      <c r="O17" s="233">
        <v>33.333333333333336</v>
      </c>
      <c r="P17" s="233">
        <f t="shared" si="2"/>
        <v>500</v>
      </c>
      <c r="Q17" s="233">
        <f t="shared" si="3"/>
        <v>-6</v>
      </c>
      <c r="R17" s="234">
        <f t="shared" si="4"/>
        <v>506</v>
      </c>
    </row>
    <row r="18" spans="1:18" ht="12" hidden="1" customHeight="1">
      <c r="A18" s="211"/>
      <c r="B18" s="280">
        <v>9</v>
      </c>
      <c r="C18" s="270" t="s">
        <v>164</v>
      </c>
      <c r="D18" s="209">
        <v>500</v>
      </c>
      <c r="E18" s="174">
        <v>500</v>
      </c>
      <c r="F18" s="174">
        <v>500</v>
      </c>
      <c r="G18" s="174">
        <v>0</v>
      </c>
      <c r="H18" s="174">
        <v>0</v>
      </c>
      <c r="I18" s="174">
        <v>0</v>
      </c>
      <c r="J18" s="174">
        <f t="shared" si="1"/>
        <v>500</v>
      </c>
      <c r="K18" s="174">
        <f t="shared" si="0"/>
        <v>500</v>
      </c>
      <c r="L18" s="174">
        <f t="shared" si="0"/>
        <v>500</v>
      </c>
      <c r="M18" s="233">
        <v>33.333333333333336</v>
      </c>
      <c r="N18" s="233">
        <v>33.333333333333336</v>
      </c>
      <c r="O18" s="233">
        <v>33.333333333333336</v>
      </c>
      <c r="P18" s="233">
        <f t="shared" si="2"/>
        <v>500</v>
      </c>
      <c r="Q18" s="233">
        <f t="shared" si="3"/>
        <v>-6</v>
      </c>
      <c r="R18" s="234">
        <f t="shared" si="4"/>
        <v>506</v>
      </c>
    </row>
    <row r="19" spans="1:18" ht="12" hidden="1" customHeight="1">
      <c r="A19" s="207"/>
      <c r="B19" s="280">
        <v>10</v>
      </c>
      <c r="C19" s="270" t="s">
        <v>165</v>
      </c>
      <c r="D19" s="209">
        <v>500</v>
      </c>
      <c r="E19" s="174">
        <v>500</v>
      </c>
      <c r="F19" s="174">
        <v>500</v>
      </c>
      <c r="G19" s="174">
        <v>0</v>
      </c>
      <c r="H19" s="174">
        <v>0</v>
      </c>
      <c r="I19" s="174">
        <v>0</v>
      </c>
      <c r="J19" s="174">
        <f t="shared" si="1"/>
        <v>500</v>
      </c>
      <c r="K19" s="174">
        <f t="shared" si="0"/>
        <v>500</v>
      </c>
      <c r="L19" s="174">
        <f t="shared" si="0"/>
        <v>500</v>
      </c>
      <c r="M19" s="233">
        <v>33.333333333333336</v>
      </c>
      <c r="N19" s="233">
        <v>33.333333333333336</v>
      </c>
      <c r="O19" s="233">
        <v>33.333333333333336</v>
      </c>
      <c r="P19" s="233">
        <f t="shared" si="2"/>
        <v>500</v>
      </c>
      <c r="Q19" s="233">
        <f t="shared" si="3"/>
        <v>-6</v>
      </c>
      <c r="R19" s="234">
        <f t="shared" si="4"/>
        <v>506</v>
      </c>
    </row>
    <row r="20" spans="1:18" ht="12" hidden="1" customHeight="1">
      <c r="A20" s="211"/>
      <c r="B20" s="280">
        <v>11</v>
      </c>
      <c r="C20" s="270" t="s">
        <v>166</v>
      </c>
      <c r="D20" s="209">
        <v>500</v>
      </c>
      <c r="E20" s="174">
        <v>500</v>
      </c>
      <c r="F20" s="174">
        <v>500</v>
      </c>
      <c r="G20" s="174">
        <v>0</v>
      </c>
      <c r="H20" s="174">
        <v>0</v>
      </c>
      <c r="I20" s="174">
        <v>0</v>
      </c>
      <c r="J20" s="174">
        <f t="shared" si="1"/>
        <v>500</v>
      </c>
      <c r="K20" s="174">
        <f t="shared" si="0"/>
        <v>500</v>
      </c>
      <c r="L20" s="174">
        <f t="shared" si="0"/>
        <v>500</v>
      </c>
      <c r="M20" s="233">
        <v>33.333333333333336</v>
      </c>
      <c r="N20" s="233">
        <v>33.333333333333336</v>
      </c>
      <c r="O20" s="233">
        <v>33.333333333333336</v>
      </c>
      <c r="P20" s="233">
        <f t="shared" si="2"/>
        <v>500</v>
      </c>
      <c r="Q20" s="233">
        <f t="shared" si="3"/>
        <v>-6</v>
      </c>
      <c r="R20" s="234">
        <f t="shared" si="4"/>
        <v>506</v>
      </c>
    </row>
    <row r="21" spans="1:18" ht="12" hidden="1" customHeight="1">
      <c r="A21" s="211"/>
      <c r="B21" s="280">
        <v>12</v>
      </c>
      <c r="C21" s="270" t="s">
        <v>167</v>
      </c>
      <c r="D21" s="209">
        <v>500</v>
      </c>
      <c r="E21" s="174">
        <v>500</v>
      </c>
      <c r="F21" s="174">
        <v>500</v>
      </c>
      <c r="G21" s="174">
        <v>0</v>
      </c>
      <c r="H21" s="174">
        <v>0</v>
      </c>
      <c r="I21" s="174">
        <v>0</v>
      </c>
      <c r="J21" s="181">
        <f t="shared" si="1"/>
        <v>500</v>
      </c>
      <c r="K21" s="181">
        <f t="shared" si="0"/>
        <v>500</v>
      </c>
      <c r="L21" s="181">
        <f t="shared" si="0"/>
        <v>500</v>
      </c>
      <c r="M21" s="235">
        <v>33.333333333333336</v>
      </c>
      <c r="N21" s="235">
        <v>33.333333333333336</v>
      </c>
      <c r="O21" s="235">
        <v>33.333333333333336</v>
      </c>
      <c r="P21" s="235">
        <f t="shared" si="2"/>
        <v>500</v>
      </c>
      <c r="Q21" s="235">
        <f t="shared" si="3"/>
        <v>-6</v>
      </c>
      <c r="R21" s="236">
        <f t="shared" si="4"/>
        <v>506</v>
      </c>
    </row>
    <row r="22" spans="1:18" ht="12" hidden="1" customHeight="1">
      <c r="A22" s="207"/>
      <c r="B22" s="275">
        <v>38718</v>
      </c>
      <c r="C22" s="272" t="s">
        <v>320</v>
      </c>
      <c r="D22" s="237">
        <v>500</v>
      </c>
      <c r="E22" s="177">
        <v>500</v>
      </c>
      <c r="F22" s="177">
        <v>500</v>
      </c>
      <c r="G22" s="177">
        <v>-1350</v>
      </c>
      <c r="H22" s="177">
        <v>-1350</v>
      </c>
      <c r="I22" s="177">
        <v>-1350</v>
      </c>
      <c r="J22" s="174">
        <f t="shared" si="1"/>
        <v>-850</v>
      </c>
      <c r="K22" s="174">
        <f t="shared" si="0"/>
        <v>-850</v>
      </c>
      <c r="L22" s="174">
        <f t="shared" si="0"/>
        <v>-850</v>
      </c>
      <c r="M22" s="233">
        <v>33.333333333333336</v>
      </c>
      <c r="N22" s="233">
        <v>33.333333333333336</v>
      </c>
      <c r="O22" s="233">
        <v>33.333333333333336</v>
      </c>
      <c r="P22" s="233">
        <f t="shared" si="2"/>
        <v>-850</v>
      </c>
      <c r="Q22" s="233">
        <f t="shared" si="3"/>
        <v>-6</v>
      </c>
      <c r="R22" s="234">
        <f t="shared" si="4"/>
        <v>-844</v>
      </c>
    </row>
    <row r="23" spans="1:18" ht="12" hidden="1" customHeight="1">
      <c r="A23" s="211"/>
      <c r="B23" s="280">
        <v>2</v>
      </c>
      <c r="C23" s="270" t="s">
        <v>319</v>
      </c>
      <c r="D23" s="209">
        <v>500</v>
      </c>
      <c r="E23" s="174">
        <v>500</v>
      </c>
      <c r="F23" s="174">
        <v>500</v>
      </c>
      <c r="G23" s="174">
        <v>-1350</v>
      </c>
      <c r="H23" s="174">
        <v>-1350</v>
      </c>
      <c r="I23" s="174">
        <v>-1350</v>
      </c>
      <c r="J23" s="174">
        <f t="shared" si="1"/>
        <v>-850</v>
      </c>
      <c r="K23" s="174">
        <f t="shared" si="0"/>
        <v>-850</v>
      </c>
      <c r="L23" s="174">
        <f t="shared" si="0"/>
        <v>-850</v>
      </c>
      <c r="M23" s="233">
        <v>33.333333333333336</v>
      </c>
      <c r="N23" s="233">
        <v>33.333333333333336</v>
      </c>
      <c r="O23" s="233">
        <v>33.333333333333336</v>
      </c>
      <c r="P23" s="233">
        <f t="shared" si="2"/>
        <v>-850</v>
      </c>
      <c r="Q23" s="233">
        <f t="shared" si="3"/>
        <v>-6</v>
      </c>
      <c r="R23" s="234">
        <f t="shared" si="4"/>
        <v>-844</v>
      </c>
    </row>
    <row r="24" spans="1:18" ht="12" hidden="1" customHeight="1">
      <c r="A24" s="211"/>
      <c r="B24" s="280">
        <v>3</v>
      </c>
      <c r="C24" s="270" t="s">
        <v>168</v>
      </c>
      <c r="D24" s="209">
        <v>500</v>
      </c>
      <c r="E24" s="174">
        <v>500</v>
      </c>
      <c r="F24" s="174">
        <v>500</v>
      </c>
      <c r="G24" s="174">
        <v>-1350</v>
      </c>
      <c r="H24" s="174">
        <v>-1350</v>
      </c>
      <c r="I24" s="174">
        <v>-1350</v>
      </c>
      <c r="J24" s="174">
        <f t="shared" si="1"/>
        <v>-850</v>
      </c>
      <c r="K24" s="174">
        <f t="shared" si="0"/>
        <v>-850</v>
      </c>
      <c r="L24" s="174">
        <f t="shared" si="0"/>
        <v>-850</v>
      </c>
      <c r="M24" s="233">
        <v>33.333333333333336</v>
      </c>
      <c r="N24" s="233">
        <v>33.333333333333336</v>
      </c>
      <c r="O24" s="233">
        <v>33.333333333333336</v>
      </c>
      <c r="P24" s="233">
        <f t="shared" si="2"/>
        <v>-850</v>
      </c>
      <c r="Q24" s="233">
        <f t="shared" si="3"/>
        <v>-6</v>
      </c>
      <c r="R24" s="234">
        <f t="shared" si="4"/>
        <v>-844</v>
      </c>
    </row>
    <row r="25" spans="1:18" ht="12" hidden="1" customHeight="1">
      <c r="A25" s="207"/>
      <c r="B25" s="280">
        <v>4</v>
      </c>
      <c r="C25" s="270" t="s">
        <v>169</v>
      </c>
      <c r="D25" s="209">
        <v>500</v>
      </c>
      <c r="E25" s="174">
        <v>500</v>
      </c>
      <c r="F25" s="174">
        <v>500</v>
      </c>
      <c r="G25" s="174">
        <v>-700</v>
      </c>
      <c r="H25" s="174">
        <v>-700</v>
      </c>
      <c r="I25" s="174">
        <v>-700</v>
      </c>
      <c r="J25" s="174">
        <f t="shared" si="1"/>
        <v>-200</v>
      </c>
      <c r="K25" s="174">
        <f t="shared" si="0"/>
        <v>-200</v>
      </c>
      <c r="L25" s="174">
        <f t="shared" si="0"/>
        <v>-200</v>
      </c>
      <c r="M25" s="233">
        <v>33.333333333333336</v>
      </c>
      <c r="N25" s="233">
        <v>33.333333333333336</v>
      </c>
      <c r="O25" s="233">
        <v>33.333333333333336</v>
      </c>
      <c r="P25" s="233">
        <f t="shared" si="2"/>
        <v>-200</v>
      </c>
      <c r="Q25" s="233">
        <f t="shared" si="3"/>
        <v>-6</v>
      </c>
      <c r="R25" s="234">
        <f t="shared" si="4"/>
        <v>-194</v>
      </c>
    </row>
    <row r="26" spans="1:18" ht="12" hidden="1" customHeight="1">
      <c r="A26" s="211"/>
      <c r="B26" s="280">
        <v>5</v>
      </c>
      <c r="C26" s="270" t="s">
        <v>160</v>
      </c>
      <c r="D26" s="209">
        <v>500</v>
      </c>
      <c r="E26" s="174">
        <v>500</v>
      </c>
      <c r="F26" s="174">
        <v>500</v>
      </c>
      <c r="G26" s="174">
        <v>-700</v>
      </c>
      <c r="H26" s="174">
        <v>-700</v>
      </c>
      <c r="I26" s="174">
        <v>-700</v>
      </c>
      <c r="J26" s="174">
        <f t="shared" si="1"/>
        <v>-200</v>
      </c>
      <c r="K26" s="174">
        <f t="shared" si="1"/>
        <v>-200</v>
      </c>
      <c r="L26" s="174">
        <f t="shared" si="1"/>
        <v>-200</v>
      </c>
      <c r="M26" s="233">
        <v>33.333333333333336</v>
      </c>
      <c r="N26" s="233">
        <v>33.333333333333336</v>
      </c>
      <c r="O26" s="233">
        <v>33.333333333333336</v>
      </c>
      <c r="P26" s="233">
        <f t="shared" si="2"/>
        <v>-200</v>
      </c>
      <c r="Q26" s="233">
        <f t="shared" si="3"/>
        <v>-6</v>
      </c>
      <c r="R26" s="234">
        <f t="shared" si="4"/>
        <v>-194</v>
      </c>
    </row>
    <row r="27" spans="1:18" ht="12" hidden="1" customHeight="1">
      <c r="A27" s="211"/>
      <c r="B27" s="280">
        <v>6</v>
      </c>
      <c r="C27" s="270" t="s">
        <v>161</v>
      </c>
      <c r="D27" s="209">
        <v>500</v>
      </c>
      <c r="E27" s="174">
        <v>500</v>
      </c>
      <c r="F27" s="174">
        <v>500</v>
      </c>
      <c r="G27" s="174">
        <v>-700</v>
      </c>
      <c r="H27" s="174">
        <v>-700</v>
      </c>
      <c r="I27" s="174">
        <v>-700</v>
      </c>
      <c r="J27" s="174">
        <f t="shared" si="1"/>
        <v>-200</v>
      </c>
      <c r="K27" s="174">
        <f t="shared" si="1"/>
        <v>-200</v>
      </c>
      <c r="L27" s="174">
        <f t="shared" si="1"/>
        <v>-200</v>
      </c>
      <c r="M27" s="233">
        <v>33.333333333333336</v>
      </c>
      <c r="N27" s="233">
        <v>33.333333333333336</v>
      </c>
      <c r="O27" s="233">
        <v>33.333333333333336</v>
      </c>
      <c r="P27" s="233">
        <f t="shared" si="2"/>
        <v>-200</v>
      </c>
      <c r="Q27" s="233">
        <f t="shared" si="3"/>
        <v>-6</v>
      </c>
      <c r="R27" s="234">
        <f t="shared" si="4"/>
        <v>-194</v>
      </c>
    </row>
    <row r="28" spans="1:18" ht="12" hidden="1" customHeight="1">
      <c r="A28" s="207"/>
      <c r="B28" s="280">
        <v>7</v>
      </c>
      <c r="C28" s="270" t="s">
        <v>162</v>
      </c>
      <c r="D28" s="209">
        <v>500</v>
      </c>
      <c r="E28" s="174">
        <v>500</v>
      </c>
      <c r="F28" s="174">
        <v>500</v>
      </c>
      <c r="G28" s="174">
        <v>0</v>
      </c>
      <c r="H28" s="174">
        <v>0</v>
      </c>
      <c r="I28" s="174">
        <v>0</v>
      </c>
      <c r="J28" s="174">
        <f t="shared" si="1"/>
        <v>500</v>
      </c>
      <c r="K28" s="174">
        <f t="shared" si="1"/>
        <v>500</v>
      </c>
      <c r="L28" s="174">
        <f t="shared" si="1"/>
        <v>500</v>
      </c>
      <c r="M28" s="233">
        <v>33.333333333333336</v>
      </c>
      <c r="N28" s="233">
        <v>33.333333333333336</v>
      </c>
      <c r="O28" s="233">
        <v>33.333333333333336</v>
      </c>
      <c r="P28" s="233">
        <f t="shared" si="2"/>
        <v>500</v>
      </c>
      <c r="Q28" s="233">
        <f t="shared" si="3"/>
        <v>-6</v>
      </c>
      <c r="R28" s="234">
        <f t="shared" si="4"/>
        <v>506</v>
      </c>
    </row>
    <row r="29" spans="1:18" ht="12" hidden="1" customHeight="1">
      <c r="A29" s="211"/>
      <c r="B29" s="280">
        <v>8</v>
      </c>
      <c r="C29" s="270" t="s">
        <v>163</v>
      </c>
      <c r="D29" s="209">
        <v>500</v>
      </c>
      <c r="E29" s="174">
        <v>500</v>
      </c>
      <c r="F29" s="174">
        <v>500</v>
      </c>
      <c r="G29" s="174">
        <v>0</v>
      </c>
      <c r="H29" s="174">
        <v>0</v>
      </c>
      <c r="I29" s="174">
        <v>0</v>
      </c>
      <c r="J29" s="174">
        <f t="shared" si="1"/>
        <v>500</v>
      </c>
      <c r="K29" s="174">
        <f t="shared" si="1"/>
        <v>500</v>
      </c>
      <c r="L29" s="174">
        <f t="shared" si="1"/>
        <v>500</v>
      </c>
      <c r="M29" s="233">
        <v>33.333333333333336</v>
      </c>
      <c r="N29" s="233">
        <v>33.333333333333336</v>
      </c>
      <c r="O29" s="233">
        <v>33.333333333333336</v>
      </c>
      <c r="P29" s="233">
        <f t="shared" si="2"/>
        <v>500</v>
      </c>
      <c r="Q29" s="233">
        <f t="shared" si="3"/>
        <v>-6</v>
      </c>
      <c r="R29" s="234">
        <f t="shared" si="4"/>
        <v>506</v>
      </c>
    </row>
    <row r="30" spans="1:18" ht="12" hidden="1" customHeight="1">
      <c r="A30" s="211"/>
      <c r="B30" s="280">
        <v>9</v>
      </c>
      <c r="C30" s="270" t="s">
        <v>164</v>
      </c>
      <c r="D30" s="209">
        <v>500</v>
      </c>
      <c r="E30" s="174">
        <v>500</v>
      </c>
      <c r="F30" s="174">
        <v>500</v>
      </c>
      <c r="G30" s="174">
        <v>0</v>
      </c>
      <c r="H30" s="174">
        <v>0</v>
      </c>
      <c r="I30" s="174">
        <v>0</v>
      </c>
      <c r="J30" s="174">
        <f t="shared" si="1"/>
        <v>500</v>
      </c>
      <c r="K30" s="174">
        <f t="shared" si="1"/>
        <v>500</v>
      </c>
      <c r="L30" s="174">
        <f t="shared" si="1"/>
        <v>500</v>
      </c>
      <c r="M30" s="233">
        <v>33.333333333333336</v>
      </c>
      <c r="N30" s="233">
        <v>33.333333333333336</v>
      </c>
      <c r="O30" s="233">
        <v>33.333333333333336</v>
      </c>
      <c r="P30" s="233">
        <f t="shared" si="2"/>
        <v>500</v>
      </c>
      <c r="Q30" s="233">
        <f t="shared" si="3"/>
        <v>-6</v>
      </c>
      <c r="R30" s="234">
        <f t="shared" si="4"/>
        <v>506</v>
      </c>
    </row>
    <row r="31" spans="1:18" ht="12" hidden="1" customHeight="1">
      <c r="A31" s="207"/>
      <c r="B31" s="280">
        <v>10</v>
      </c>
      <c r="C31" s="270" t="s">
        <v>165</v>
      </c>
      <c r="D31" s="209">
        <v>500</v>
      </c>
      <c r="E31" s="174">
        <v>500</v>
      </c>
      <c r="F31" s="174">
        <v>500</v>
      </c>
      <c r="G31" s="174">
        <v>-1600</v>
      </c>
      <c r="H31" s="174">
        <v>-1600</v>
      </c>
      <c r="I31" s="174">
        <v>-1600</v>
      </c>
      <c r="J31" s="174">
        <f t="shared" si="1"/>
        <v>-1100</v>
      </c>
      <c r="K31" s="174">
        <f t="shared" si="1"/>
        <v>-1100</v>
      </c>
      <c r="L31" s="174">
        <f t="shared" si="1"/>
        <v>-1100</v>
      </c>
      <c r="M31" s="233">
        <v>33.333333333333336</v>
      </c>
      <c r="N31" s="233">
        <v>33.333333333333336</v>
      </c>
      <c r="O31" s="233">
        <v>33.333333333333336</v>
      </c>
      <c r="P31" s="233">
        <f t="shared" si="2"/>
        <v>-1100.0000000000002</v>
      </c>
      <c r="Q31" s="233">
        <f t="shared" si="3"/>
        <v>-6</v>
      </c>
      <c r="R31" s="234">
        <f t="shared" si="4"/>
        <v>-1094.0000000000002</v>
      </c>
    </row>
    <row r="32" spans="1:18" ht="12" hidden="1" customHeight="1">
      <c r="A32" s="211"/>
      <c r="B32" s="280">
        <v>11</v>
      </c>
      <c r="C32" s="270" t="s">
        <v>166</v>
      </c>
      <c r="D32" s="209">
        <v>500</v>
      </c>
      <c r="E32" s="174">
        <v>500</v>
      </c>
      <c r="F32" s="174">
        <v>500</v>
      </c>
      <c r="G32" s="174">
        <v>-1600</v>
      </c>
      <c r="H32" s="174">
        <v>-1600</v>
      </c>
      <c r="I32" s="174">
        <v>-1600</v>
      </c>
      <c r="J32" s="174">
        <f t="shared" si="1"/>
        <v>-1100</v>
      </c>
      <c r="K32" s="174">
        <f t="shared" si="1"/>
        <v>-1100</v>
      </c>
      <c r="L32" s="174">
        <f t="shared" si="1"/>
        <v>-1100</v>
      </c>
      <c r="M32" s="233">
        <v>33.333333333333336</v>
      </c>
      <c r="N32" s="233">
        <v>33.333333333333336</v>
      </c>
      <c r="O32" s="233">
        <v>33.333333333333336</v>
      </c>
      <c r="P32" s="233">
        <f t="shared" si="2"/>
        <v>-1100.0000000000002</v>
      </c>
      <c r="Q32" s="233">
        <f t="shared" si="3"/>
        <v>-6</v>
      </c>
      <c r="R32" s="234">
        <f t="shared" si="4"/>
        <v>-1094.0000000000002</v>
      </c>
    </row>
    <row r="33" spans="1:18" ht="12" hidden="1" customHeight="1">
      <c r="A33" s="211"/>
      <c r="B33" s="276">
        <v>12</v>
      </c>
      <c r="C33" s="271" t="s">
        <v>167</v>
      </c>
      <c r="D33" s="238">
        <v>500</v>
      </c>
      <c r="E33" s="181">
        <v>500</v>
      </c>
      <c r="F33" s="181">
        <v>500</v>
      </c>
      <c r="G33" s="181">
        <v>-1600</v>
      </c>
      <c r="H33" s="181">
        <v>-1600</v>
      </c>
      <c r="I33" s="181">
        <v>-1600</v>
      </c>
      <c r="J33" s="174">
        <f t="shared" si="1"/>
        <v>-1100</v>
      </c>
      <c r="K33" s="174">
        <f t="shared" si="1"/>
        <v>-1100</v>
      </c>
      <c r="L33" s="174">
        <f t="shared" si="1"/>
        <v>-1100</v>
      </c>
      <c r="M33" s="233">
        <v>33.333333333333336</v>
      </c>
      <c r="N33" s="233">
        <v>33.333333333333336</v>
      </c>
      <c r="O33" s="233">
        <v>33.333333333333336</v>
      </c>
      <c r="P33" s="233">
        <f t="shared" si="2"/>
        <v>-1100.0000000000002</v>
      </c>
      <c r="Q33" s="233">
        <f t="shared" si="3"/>
        <v>-6</v>
      </c>
      <c r="R33" s="234">
        <f t="shared" si="4"/>
        <v>-1094.0000000000002</v>
      </c>
    </row>
    <row r="34" spans="1:18" ht="12" hidden="1" customHeight="1">
      <c r="A34" s="207"/>
      <c r="B34" s="281">
        <v>39083</v>
      </c>
      <c r="C34" s="270" t="s">
        <v>321</v>
      </c>
      <c r="D34" s="209">
        <v>500</v>
      </c>
      <c r="E34" s="174">
        <v>500</v>
      </c>
      <c r="F34" s="174">
        <v>500</v>
      </c>
      <c r="G34" s="174">
        <v>-6500</v>
      </c>
      <c r="H34" s="174">
        <v>-6500</v>
      </c>
      <c r="I34" s="174">
        <v>-6500</v>
      </c>
      <c r="J34" s="177">
        <f t="shared" si="1"/>
        <v>-6000</v>
      </c>
      <c r="K34" s="177">
        <f t="shared" si="1"/>
        <v>-6000</v>
      </c>
      <c r="L34" s="177">
        <f t="shared" si="1"/>
        <v>-6000</v>
      </c>
      <c r="M34" s="239">
        <v>33.333333333333336</v>
      </c>
      <c r="N34" s="239">
        <v>33.333333333333336</v>
      </c>
      <c r="O34" s="239">
        <v>33.333333333333336</v>
      </c>
      <c r="P34" s="239">
        <f t="shared" si="2"/>
        <v>-6000</v>
      </c>
      <c r="Q34" s="239">
        <f t="shared" si="3"/>
        <v>-6</v>
      </c>
      <c r="R34" s="240">
        <f t="shared" si="4"/>
        <v>-5994</v>
      </c>
    </row>
    <row r="35" spans="1:18" s="210" customFormat="1" ht="12" hidden="1" customHeight="1">
      <c r="A35" s="208"/>
      <c r="B35" s="280">
        <v>2</v>
      </c>
      <c r="C35" s="270" t="s">
        <v>322</v>
      </c>
      <c r="D35" s="209">
        <v>500</v>
      </c>
      <c r="E35" s="174">
        <v>500</v>
      </c>
      <c r="F35" s="174">
        <v>500</v>
      </c>
      <c r="G35" s="174">
        <v>-6500</v>
      </c>
      <c r="H35" s="174">
        <v>-6500</v>
      </c>
      <c r="I35" s="174">
        <v>-6500</v>
      </c>
      <c r="J35" s="174">
        <f t="shared" ref="J35:L66" si="5">D35+G35</f>
        <v>-6000</v>
      </c>
      <c r="K35" s="174">
        <f t="shared" si="5"/>
        <v>-6000</v>
      </c>
      <c r="L35" s="174">
        <f t="shared" si="5"/>
        <v>-6000</v>
      </c>
      <c r="M35" s="233">
        <v>33.333333333333336</v>
      </c>
      <c r="N35" s="233">
        <v>33.333333333333336</v>
      </c>
      <c r="O35" s="233">
        <v>33.333333333333336</v>
      </c>
      <c r="P35" s="233">
        <f t="shared" si="2"/>
        <v>-6000</v>
      </c>
      <c r="Q35" s="233">
        <f t="shared" si="3"/>
        <v>-6</v>
      </c>
      <c r="R35" s="234">
        <f t="shared" si="4"/>
        <v>-5994</v>
      </c>
    </row>
    <row r="36" spans="1:18" ht="12" hidden="1" customHeight="1">
      <c r="A36" s="211"/>
      <c r="B36" s="280">
        <v>3</v>
      </c>
      <c r="C36" s="270" t="s">
        <v>168</v>
      </c>
      <c r="D36" s="209">
        <v>500</v>
      </c>
      <c r="E36" s="174">
        <v>500</v>
      </c>
      <c r="F36" s="174">
        <v>500</v>
      </c>
      <c r="G36" s="174">
        <v>-6500</v>
      </c>
      <c r="H36" s="174">
        <v>-6500</v>
      </c>
      <c r="I36" s="174">
        <v>-6500</v>
      </c>
      <c r="J36" s="174">
        <f t="shared" si="5"/>
        <v>-6000</v>
      </c>
      <c r="K36" s="174">
        <f t="shared" si="5"/>
        <v>-6000</v>
      </c>
      <c r="L36" s="174">
        <f t="shared" si="5"/>
        <v>-6000</v>
      </c>
      <c r="M36" s="233">
        <v>33.333333333333336</v>
      </c>
      <c r="N36" s="233">
        <v>33.333333333333336</v>
      </c>
      <c r="O36" s="233">
        <v>33.333333333333336</v>
      </c>
      <c r="P36" s="233">
        <f t="shared" si="2"/>
        <v>-6000</v>
      </c>
      <c r="Q36" s="233">
        <f t="shared" si="3"/>
        <v>-6</v>
      </c>
      <c r="R36" s="234">
        <f t="shared" si="4"/>
        <v>-5994</v>
      </c>
    </row>
    <row r="37" spans="1:18" ht="12" hidden="1" customHeight="1">
      <c r="A37" s="207"/>
      <c r="B37" s="280">
        <v>4</v>
      </c>
      <c r="C37" s="270" t="s">
        <v>169</v>
      </c>
      <c r="D37" s="209">
        <v>500</v>
      </c>
      <c r="E37" s="174">
        <v>500</v>
      </c>
      <c r="F37" s="174">
        <v>500</v>
      </c>
      <c r="G37" s="174">
        <v>-8200</v>
      </c>
      <c r="H37" s="174">
        <v>-8200</v>
      </c>
      <c r="I37" s="174">
        <v>-8200</v>
      </c>
      <c r="J37" s="174">
        <f t="shared" si="5"/>
        <v>-7700</v>
      </c>
      <c r="K37" s="174">
        <f t="shared" si="5"/>
        <v>-7700</v>
      </c>
      <c r="L37" s="174">
        <f t="shared" si="5"/>
        <v>-7700</v>
      </c>
      <c r="M37" s="233">
        <v>33.333333333333336</v>
      </c>
      <c r="N37" s="233">
        <v>33.333333333333336</v>
      </c>
      <c r="O37" s="233">
        <v>33.333333333333336</v>
      </c>
      <c r="P37" s="233">
        <f t="shared" si="2"/>
        <v>-7700</v>
      </c>
      <c r="Q37" s="233">
        <f t="shared" si="3"/>
        <v>-6</v>
      </c>
      <c r="R37" s="234">
        <f t="shared" si="4"/>
        <v>-7694</v>
      </c>
    </row>
    <row r="38" spans="1:18" ht="12" hidden="1" customHeight="1">
      <c r="A38" s="211"/>
      <c r="B38" s="280">
        <v>5</v>
      </c>
      <c r="C38" s="270" t="s">
        <v>160</v>
      </c>
      <c r="D38" s="209">
        <v>500</v>
      </c>
      <c r="E38" s="174">
        <v>500</v>
      </c>
      <c r="F38" s="174">
        <v>500</v>
      </c>
      <c r="G38" s="174">
        <v>-8200</v>
      </c>
      <c r="H38" s="174">
        <v>-8200</v>
      </c>
      <c r="I38" s="174">
        <v>-8200</v>
      </c>
      <c r="J38" s="174">
        <f t="shared" si="5"/>
        <v>-7700</v>
      </c>
      <c r="K38" s="174">
        <f t="shared" si="5"/>
        <v>-7700</v>
      </c>
      <c r="L38" s="174">
        <f t="shared" si="5"/>
        <v>-7700</v>
      </c>
      <c r="M38" s="233">
        <v>33.333333333333336</v>
      </c>
      <c r="N38" s="233">
        <v>33.333333333333336</v>
      </c>
      <c r="O38" s="233">
        <v>33.333333333333336</v>
      </c>
      <c r="P38" s="233">
        <f t="shared" si="2"/>
        <v>-7700</v>
      </c>
      <c r="Q38" s="233">
        <f t="shared" si="3"/>
        <v>-6</v>
      </c>
      <c r="R38" s="234">
        <f t="shared" si="4"/>
        <v>-7694</v>
      </c>
    </row>
    <row r="39" spans="1:18" ht="12" hidden="1" customHeight="1">
      <c r="A39" s="211"/>
      <c r="B39" s="280">
        <v>6</v>
      </c>
      <c r="C39" s="270" t="s">
        <v>161</v>
      </c>
      <c r="D39" s="209">
        <v>500</v>
      </c>
      <c r="E39" s="174">
        <v>500</v>
      </c>
      <c r="F39" s="174">
        <v>500</v>
      </c>
      <c r="G39" s="174">
        <v>-8200</v>
      </c>
      <c r="H39" s="174">
        <v>-8200</v>
      </c>
      <c r="I39" s="174">
        <v>-8200</v>
      </c>
      <c r="J39" s="174">
        <f t="shared" si="5"/>
        <v>-7700</v>
      </c>
      <c r="K39" s="174">
        <f t="shared" si="5"/>
        <v>-7700</v>
      </c>
      <c r="L39" s="174">
        <f t="shared" si="5"/>
        <v>-7700</v>
      </c>
      <c r="M39" s="233">
        <v>33.333333333333336</v>
      </c>
      <c r="N39" s="233">
        <v>33.333333333333336</v>
      </c>
      <c r="O39" s="233">
        <v>33.333333333333336</v>
      </c>
      <c r="P39" s="233">
        <f t="shared" si="2"/>
        <v>-7700</v>
      </c>
      <c r="Q39" s="233">
        <f t="shared" si="3"/>
        <v>-6</v>
      </c>
      <c r="R39" s="234">
        <f t="shared" si="4"/>
        <v>-7694</v>
      </c>
    </row>
    <row r="40" spans="1:18" ht="12" hidden="1" customHeight="1">
      <c r="A40" s="207"/>
      <c r="B40" s="280">
        <v>7</v>
      </c>
      <c r="C40" s="270" t="s">
        <v>162</v>
      </c>
      <c r="D40" s="209">
        <v>500</v>
      </c>
      <c r="E40" s="174">
        <v>500</v>
      </c>
      <c r="F40" s="174">
        <v>500</v>
      </c>
      <c r="G40" s="174">
        <v>-7650</v>
      </c>
      <c r="H40" s="174">
        <v>-7650</v>
      </c>
      <c r="I40" s="174">
        <v>-7650</v>
      </c>
      <c r="J40" s="174">
        <f t="shared" si="5"/>
        <v>-7150</v>
      </c>
      <c r="K40" s="174">
        <f t="shared" si="5"/>
        <v>-7150</v>
      </c>
      <c r="L40" s="174">
        <f t="shared" si="5"/>
        <v>-7150</v>
      </c>
      <c r="M40" s="233">
        <v>33.333333333333336</v>
      </c>
      <c r="N40" s="233">
        <v>33.333333333333336</v>
      </c>
      <c r="O40" s="233">
        <v>33.333333333333336</v>
      </c>
      <c r="P40" s="233">
        <f t="shared" si="2"/>
        <v>-7150</v>
      </c>
      <c r="Q40" s="233">
        <f t="shared" si="3"/>
        <v>-6</v>
      </c>
      <c r="R40" s="234">
        <f t="shared" si="4"/>
        <v>-7144</v>
      </c>
    </row>
    <row r="41" spans="1:18" ht="12" hidden="1" customHeight="1">
      <c r="A41" s="211"/>
      <c r="B41" s="280">
        <v>8</v>
      </c>
      <c r="C41" s="270" t="s">
        <v>163</v>
      </c>
      <c r="D41" s="209">
        <v>500</v>
      </c>
      <c r="E41" s="174">
        <v>500</v>
      </c>
      <c r="F41" s="174">
        <v>500</v>
      </c>
      <c r="G41" s="174">
        <v>-7650</v>
      </c>
      <c r="H41" s="174">
        <v>-7650</v>
      </c>
      <c r="I41" s="174">
        <v>-7650</v>
      </c>
      <c r="J41" s="174">
        <f t="shared" si="5"/>
        <v>-7150</v>
      </c>
      <c r="K41" s="174">
        <f t="shared" si="5"/>
        <v>-7150</v>
      </c>
      <c r="L41" s="174">
        <f t="shared" si="5"/>
        <v>-7150</v>
      </c>
      <c r="M41" s="233">
        <v>33.333333333333336</v>
      </c>
      <c r="N41" s="233">
        <v>33.333333333333336</v>
      </c>
      <c r="O41" s="233">
        <v>33.333333333333336</v>
      </c>
      <c r="P41" s="233">
        <f t="shared" si="2"/>
        <v>-7150</v>
      </c>
      <c r="Q41" s="233">
        <f t="shared" si="3"/>
        <v>-6</v>
      </c>
      <c r="R41" s="234">
        <f t="shared" si="4"/>
        <v>-7144</v>
      </c>
    </row>
    <row r="42" spans="1:18" ht="12" hidden="1" customHeight="1">
      <c r="A42" s="211"/>
      <c r="B42" s="280">
        <v>9</v>
      </c>
      <c r="C42" s="270" t="s">
        <v>164</v>
      </c>
      <c r="D42" s="209">
        <v>500</v>
      </c>
      <c r="E42" s="174">
        <v>500</v>
      </c>
      <c r="F42" s="174">
        <v>500</v>
      </c>
      <c r="G42" s="174">
        <v>-7650</v>
      </c>
      <c r="H42" s="174">
        <v>-7650</v>
      </c>
      <c r="I42" s="174">
        <v>-7650</v>
      </c>
      <c r="J42" s="174">
        <f t="shared" si="5"/>
        <v>-7150</v>
      </c>
      <c r="K42" s="174">
        <f t="shared" si="5"/>
        <v>-7150</v>
      </c>
      <c r="L42" s="174">
        <f t="shared" si="5"/>
        <v>-7150</v>
      </c>
      <c r="M42" s="233">
        <v>33.333333333333336</v>
      </c>
      <c r="N42" s="233">
        <v>33.333333333333336</v>
      </c>
      <c r="O42" s="233">
        <v>33.333333333333336</v>
      </c>
      <c r="P42" s="233">
        <f t="shared" si="2"/>
        <v>-7150</v>
      </c>
      <c r="Q42" s="233">
        <f t="shared" si="3"/>
        <v>-6</v>
      </c>
      <c r="R42" s="234">
        <f t="shared" si="4"/>
        <v>-7144</v>
      </c>
    </row>
    <row r="43" spans="1:18" ht="12" hidden="1" customHeight="1">
      <c r="A43" s="207"/>
      <c r="B43" s="280">
        <v>10</v>
      </c>
      <c r="C43" s="270" t="s">
        <v>165</v>
      </c>
      <c r="D43" s="209">
        <v>500</v>
      </c>
      <c r="E43" s="174">
        <v>500</v>
      </c>
      <c r="F43" s="174">
        <v>500</v>
      </c>
      <c r="G43" s="174">
        <v>-5550</v>
      </c>
      <c r="H43" s="174">
        <v>-5550</v>
      </c>
      <c r="I43" s="174">
        <v>-5550</v>
      </c>
      <c r="J43" s="174">
        <f t="shared" si="5"/>
        <v>-5050</v>
      </c>
      <c r="K43" s="174">
        <f t="shared" si="5"/>
        <v>-5050</v>
      </c>
      <c r="L43" s="174">
        <f t="shared" si="5"/>
        <v>-5050</v>
      </c>
      <c r="M43" s="233">
        <v>33.333333333333336</v>
      </c>
      <c r="N43" s="233">
        <v>33.333333333333336</v>
      </c>
      <c r="O43" s="233">
        <v>33.333333333333336</v>
      </c>
      <c r="P43" s="233">
        <f t="shared" si="2"/>
        <v>-5050</v>
      </c>
      <c r="Q43" s="233">
        <f t="shared" si="3"/>
        <v>-6</v>
      </c>
      <c r="R43" s="234">
        <f t="shared" si="4"/>
        <v>-5044</v>
      </c>
    </row>
    <row r="44" spans="1:18" ht="12" hidden="1" customHeight="1">
      <c r="A44" s="211"/>
      <c r="B44" s="280">
        <v>11</v>
      </c>
      <c r="C44" s="270" t="s">
        <v>166</v>
      </c>
      <c r="D44" s="209">
        <v>500</v>
      </c>
      <c r="E44" s="174">
        <v>500</v>
      </c>
      <c r="F44" s="174">
        <v>500</v>
      </c>
      <c r="G44" s="174">
        <v>-5550</v>
      </c>
      <c r="H44" s="174">
        <v>-5550</v>
      </c>
      <c r="I44" s="174">
        <v>-5550</v>
      </c>
      <c r="J44" s="174">
        <f t="shared" si="5"/>
        <v>-5050</v>
      </c>
      <c r="K44" s="174">
        <f t="shared" si="5"/>
        <v>-5050</v>
      </c>
      <c r="L44" s="174">
        <f t="shared" si="5"/>
        <v>-5050</v>
      </c>
      <c r="M44" s="233">
        <v>33.333333333333336</v>
      </c>
      <c r="N44" s="233">
        <v>33.333333333333336</v>
      </c>
      <c r="O44" s="233">
        <v>33.333333333333336</v>
      </c>
      <c r="P44" s="233">
        <f t="shared" si="2"/>
        <v>-5050</v>
      </c>
      <c r="Q44" s="233">
        <f t="shared" si="3"/>
        <v>-6</v>
      </c>
      <c r="R44" s="234">
        <f t="shared" si="4"/>
        <v>-5044</v>
      </c>
    </row>
    <row r="45" spans="1:18" ht="12" hidden="1" customHeight="1">
      <c r="A45" s="211"/>
      <c r="B45" s="280">
        <v>12</v>
      </c>
      <c r="C45" s="270" t="s">
        <v>167</v>
      </c>
      <c r="D45" s="209">
        <v>500</v>
      </c>
      <c r="E45" s="174">
        <v>500</v>
      </c>
      <c r="F45" s="174">
        <v>500</v>
      </c>
      <c r="G45" s="174">
        <v>-5550</v>
      </c>
      <c r="H45" s="174">
        <v>-5550</v>
      </c>
      <c r="I45" s="174">
        <v>-5550</v>
      </c>
      <c r="J45" s="181">
        <f t="shared" si="5"/>
        <v>-5050</v>
      </c>
      <c r="K45" s="181">
        <f t="shared" si="5"/>
        <v>-5050</v>
      </c>
      <c r="L45" s="181">
        <f t="shared" si="5"/>
        <v>-5050</v>
      </c>
      <c r="M45" s="235">
        <v>33.333333333333336</v>
      </c>
      <c r="N45" s="235">
        <v>33.333333333333336</v>
      </c>
      <c r="O45" s="235">
        <v>33.333333333333336</v>
      </c>
      <c r="P45" s="235">
        <f t="shared" si="2"/>
        <v>-5050</v>
      </c>
      <c r="Q45" s="235">
        <f t="shared" si="3"/>
        <v>-6</v>
      </c>
      <c r="R45" s="236">
        <f t="shared" si="4"/>
        <v>-5044</v>
      </c>
    </row>
    <row r="46" spans="1:18" ht="12" hidden="1" customHeight="1">
      <c r="A46" s="207"/>
      <c r="B46" s="275">
        <v>39448</v>
      </c>
      <c r="C46" s="272" t="s">
        <v>323</v>
      </c>
      <c r="D46" s="237">
        <v>500</v>
      </c>
      <c r="E46" s="177">
        <v>500</v>
      </c>
      <c r="F46" s="177">
        <v>500</v>
      </c>
      <c r="G46" s="177">
        <v>-7800</v>
      </c>
      <c r="H46" s="177">
        <v>-7800</v>
      </c>
      <c r="I46" s="177">
        <v>-7800</v>
      </c>
      <c r="J46" s="174">
        <f t="shared" si="5"/>
        <v>-7300</v>
      </c>
      <c r="K46" s="174">
        <f t="shared" si="5"/>
        <v>-7300</v>
      </c>
      <c r="L46" s="174">
        <f t="shared" si="5"/>
        <v>-7300</v>
      </c>
      <c r="M46" s="233">
        <v>33.333333333333336</v>
      </c>
      <c r="N46" s="233">
        <v>33.333333333333336</v>
      </c>
      <c r="O46" s="233">
        <v>33.333333333333336</v>
      </c>
      <c r="P46" s="233">
        <f t="shared" si="2"/>
        <v>-7300</v>
      </c>
      <c r="Q46" s="233">
        <f t="shared" si="3"/>
        <v>-6</v>
      </c>
      <c r="R46" s="234">
        <f t="shared" si="4"/>
        <v>-7294</v>
      </c>
    </row>
    <row r="47" spans="1:18" s="210" customFormat="1" ht="12" hidden="1" customHeight="1">
      <c r="A47" s="208"/>
      <c r="B47" s="280">
        <v>2</v>
      </c>
      <c r="C47" s="270" t="s">
        <v>322</v>
      </c>
      <c r="D47" s="209">
        <v>500</v>
      </c>
      <c r="E47" s="174">
        <v>500</v>
      </c>
      <c r="F47" s="174">
        <v>500</v>
      </c>
      <c r="G47" s="174">
        <v>-7800</v>
      </c>
      <c r="H47" s="174">
        <v>-7800</v>
      </c>
      <c r="I47" s="174">
        <v>-7800</v>
      </c>
      <c r="J47" s="174">
        <f t="shared" si="5"/>
        <v>-7300</v>
      </c>
      <c r="K47" s="174">
        <f t="shared" si="5"/>
        <v>-7300</v>
      </c>
      <c r="L47" s="174">
        <f t="shared" si="5"/>
        <v>-7300</v>
      </c>
      <c r="M47" s="233">
        <v>33.333333333333336</v>
      </c>
      <c r="N47" s="233">
        <v>33.333333333333336</v>
      </c>
      <c r="O47" s="233">
        <v>33.333333333333336</v>
      </c>
      <c r="P47" s="233">
        <f t="shared" si="2"/>
        <v>-7300</v>
      </c>
      <c r="Q47" s="233">
        <f t="shared" si="3"/>
        <v>-6</v>
      </c>
      <c r="R47" s="234">
        <f t="shared" si="4"/>
        <v>-7294</v>
      </c>
    </row>
    <row r="48" spans="1:18" ht="12" hidden="1" customHeight="1">
      <c r="A48" s="211"/>
      <c r="B48" s="280">
        <v>3</v>
      </c>
      <c r="C48" s="270" t="s">
        <v>168</v>
      </c>
      <c r="D48" s="209">
        <v>500</v>
      </c>
      <c r="E48" s="174">
        <v>500</v>
      </c>
      <c r="F48" s="174">
        <v>500</v>
      </c>
      <c r="G48" s="174">
        <v>-7800</v>
      </c>
      <c r="H48" s="174">
        <v>-7800</v>
      </c>
      <c r="I48" s="174">
        <v>-7800</v>
      </c>
      <c r="J48" s="174">
        <f t="shared" si="5"/>
        <v>-7300</v>
      </c>
      <c r="K48" s="174">
        <f t="shared" si="5"/>
        <v>-7300</v>
      </c>
      <c r="L48" s="174">
        <f t="shared" si="5"/>
        <v>-7300</v>
      </c>
      <c r="M48" s="233">
        <v>33.333333333333336</v>
      </c>
      <c r="N48" s="233">
        <v>33.333333333333336</v>
      </c>
      <c r="O48" s="233">
        <v>33.333333333333336</v>
      </c>
      <c r="P48" s="233">
        <f t="shared" si="2"/>
        <v>-7300</v>
      </c>
      <c r="Q48" s="233">
        <f t="shared" si="3"/>
        <v>-6</v>
      </c>
      <c r="R48" s="234">
        <f t="shared" si="4"/>
        <v>-7294</v>
      </c>
    </row>
    <row r="49" spans="1:18" ht="12" hidden="1" customHeight="1">
      <c r="A49" s="207"/>
      <c r="B49" s="280">
        <v>4</v>
      </c>
      <c r="C49" s="270" t="s">
        <v>169</v>
      </c>
      <c r="D49" s="209">
        <v>500</v>
      </c>
      <c r="E49" s="174">
        <v>500</v>
      </c>
      <c r="F49" s="174">
        <v>500</v>
      </c>
      <c r="G49" s="174">
        <v>-10500</v>
      </c>
      <c r="H49" s="174">
        <v>-10500</v>
      </c>
      <c r="I49" s="174">
        <v>-10500</v>
      </c>
      <c r="J49" s="174">
        <f t="shared" si="5"/>
        <v>-10000</v>
      </c>
      <c r="K49" s="174">
        <f t="shared" si="5"/>
        <v>-10000</v>
      </c>
      <c r="L49" s="174">
        <f t="shared" si="5"/>
        <v>-10000</v>
      </c>
      <c r="M49" s="233">
        <v>33.333333333333336</v>
      </c>
      <c r="N49" s="233">
        <v>33.333333333333336</v>
      </c>
      <c r="O49" s="233">
        <v>33.333333333333336</v>
      </c>
      <c r="P49" s="233">
        <f t="shared" si="2"/>
        <v>-10000.000000000002</v>
      </c>
      <c r="Q49" s="233">
        <f t="shared" si="3"/>
        <v>-6</v>
      </c>
      <c r="R49" s="234">
        <f t="shared" si="4"/>
        <v>-9994.0000000000018</v>
      </c>
    </row>
    <row r="50" spans="1:18" ht="12" hidden="1" customHeight="1">
      <c r="A50" s="211"/>
      <c r="B50" s="280">
        <v>5</v>
      </c>
      <c r="C50" s="270" t="s">
        <v>160</v>
      </c>
      <c r="D50" s="209">
        <v>500</v>
      </c>
      <c r="E50" s="174">
        <v>500</v>
      </c>
      <c r="F50" s="174">
        <v>500</v>
      </c>
      <c r="G50" s="174">
        <v>-10500</v>
      </c>
      <c r="H50" s="174">
        <v>-10500</v>
      </c>
      <c r="I50" s="174">
        <v>-10500</v>
      </c>
      <c r="J50" s="174">
        <f t="shared" si="5"/>
        <v>-10000</v>
      </c>
      <c r="K50" s="174">
        <f t="shared" si="5"/>
        <v>-10000</v>
      </c>
      <c r="L50" s="174">
        <f t="shared" si="5"/>
        <v>-10000</v>
      </c>
      <c r="M50" s="233">
        <v>33.333333333333336</v>
      </c>
      <c r="N50" s="233">
        <v>33.333333333333336</v>
      </c>
      <c r="O50" s="233">
        <v>33.333333333333336</v>
      </c>
      <c r="P50" s="233">
        <f t="shared" si="2"/>
        <v>-10000.000000000002</v>
      </c>
      <c r="Q50" s="233">
        <f t="shared" si="3"/>
        <v>-6</v>
      </c>
      <c r="R50" s="234">
        <f t="shared" si="4"/>
        <v>-9994.0000000000018</v>
      </c>
    </row>
    <row r="51" spans="1:18" ht="12" hidden="1" customHeight="1">
      <c r="A51" s="211"/>
      <c r="B51" s="280">
        <v>6</v>
      </c>
      <c r="C51" s="270" t="s">
        <v>161</v>
      </c>
      <c r="D51" s="209">
        <v>500</v>
      </c>
      <c r="E51" s="174">
        <v>500</v>
      </c>
      <c r="F51" s="174">
        <v>500</v>
      </c>
      <c r="G51" s="174">
        <v>-10500</v>
      </c>
      <c r="H51" s="174">
        <v>-10500</v>
      </c>
      <c r="I51" s="174">
        <v>-10500</v>
      </c>
      <c r="J51" s="174">
        <f t="shared" si="5"/>
        <v>-10000</v>
      </c>
      <c r="K51" s="174">
        <f t="shared" si="5"/>
        <v>-10000</v>
      </c>
      <c r="L51" s="174">
        <f t="shared" si="5"/>
        <v>-10000</v>
      </c>
      <c r="M51" s="233">
        <v>33.333333333333336</v>
      </c>
      <c r="N51" s="233">
        <v>33.333333333333336</v>
      </c>
      <c r="O51" s="233">
        <v>33.333333333333336</v>
      </c>
      <c r="P51" s="233">
        <f t="shared" si="2"/>
        <v>-10000.000000000002</v>
      </c>
      <c r="Q51" s="233">
        <f t="shared" si="3"/>
        <v>-6</v>
      </c>
      <c r="R51" s="234">
        <f t="shared" si="4"/>
        <v>-9994.0000000000018</v>
      </c>
    </row>
    <row r="52" spans="1:18" ht="12" hidden="1" customHeight="1">
      <c r="A52" s="207"/>
      <c r="B52" s="280">
        <v>7</v>
      </c>
      <c r="C52" s="270" t="s">
        <v>162</v>
      </c>
      <c r="D52" s="209">
        <v>500</v>
      </c>
      <c r="E52" s="174">
        <v>500</v>
      </c>
      <c r="F52" s="174">
        <v>500</v>
      </c>
      <c r="G52" s="174">
        <v>-7400</v>
      </c>
      <c r="H52" s="174">
        <v>-7400</v>
      </c>
      <c r="I52" s="174">
        <v>-7400</v>
      </c>
      <c r="J52" s="174">
        <f t="shared" si="5"/>
        <v>-6900</v>
      </c>
      <c r="K52" s="174">
        <f t="shared" si="5"/>
        <v>-6900</v>
      </c>
      <c r="L52" s="174">
        <f t="shared" si="5"/>
        <v>-6900</v>
      </c>
      <c r="M52" s="233">
        <v>33.333333333333336</v>
      </c>
      <c r="N52" s="233">
        <v>33.333333333333336</v>
      </c>
      <c r="O52" s="233">
        <v>33.333333333333336</v>
      </c>
      <c r="P52" s="233">
        <f t="shared" si="2"/>
        <v>-6900.0000000000009</v>
      </c>
      <c r="Q52" s="233">
        <f t="shared" si="3"/>
        <v>-6</v>
      </c>
      <c r="R52" s="234">
        <f t="shared" si="4"/>
        <v>-6894.0000000000009</v>
      </c>
    </row>
    <row r="53" spans="1:18" ht="12" hidden="1" customHeight="1">
      <c r="A53" s="211"/>
      <c r="B53" s="280">
        <v>8</v>
      </c>
      <c r="C53" s="270" t="s">
        <v>163</v>
      </c>
      <c r="D53" s="209">
        <v>500</v>
      </c>
      <c r="E53" s="174">
        <v>500</v>
      </c>
      <c r="F53" s="174">
        <v>500</v>
      </c>
      <c r="G53" s="174">
        <v>-7400</v>
      </c>
      <c r="H53" s="174">
        <v>-7400</v>
      </c>
      <c r="I53" s="174">
        <v>-7400</v>
      </c>
      <c r="J53" s="174">
        <f t="shared" si="5"/>
        <v>-6900</v>
      </c>
      <c r="K53" s="174">
        <f t="shared" si="5"/>
        <v>-6900</v>
      </c>
      <c r="L53" s="174">
        <f t="shared" si="5"/>
        <v>-6900</v>
      </c>
      <c r="M53" s="233">
        <v>33.333333333333336</v>
      </c>
      <c r="N53" s="233">
        <v>33.333333333333336</v>
      </c>
      <c r="O53" s="233">
        <v>33.333333333333336</v>
      </c>
      <c r="P53" s="233">
        <f t="shared" si="2"/>
        <v>-6900.0000000000009</v>
      </c>
      <c r="Q53" s="233">
        <f t="shared" si="3"/>
        <v>-6</v>
      </c>
      <c r="R53" s="234">
        <f t="shared" si="4"/>
        <v>-6894.0000000000009</v>
      </c>
    </row>
    <row r="54" spans="1:18" ht="12" hidden="1" customHeight="1">
      <c r="A54" s="211"/>
      <c r="B54" s="280">
        <v>9</v>
      </c>
      <c r="C54" s="270" t="s">
        <v>164</v>
      </c>
      <c r="D54" s="209">
        <v>500</v>
      </c>
      <c r="E54" s="174">
        <v>500</v>
      </c>
      <c r="F54" s="174">
        <v>500</v>
      </c>
      <c r="G54" s="174">
        <v>-7400</v>
      </c>
      <c r="H54" s="174">
        <v>-7400</v>
      </c>
      <c r="I54" s="174">
        <v>-7400</v>
      </c>
      <c r="J54" s="174">
        <f t="shared" si="5"/>
        <v>-6900</v>
      </c>
      <c r="K54" s="174">
        <f t="shared" si="5"/>
        <v>-6900</v>
      </c>
      <c r="L54" s="174">
        <f t="shared" si="5"/>
        <v>-6900</v>
      </c>
      <c r="M54" s="233">
        <v>33.333333333333336</v>
      </c>
      <c r="N54" s="233">
        <v>33.333333333333336</v>
      </c>
      <c r="O54" s="233">
        <v>33.333333333333336</v>
      </c>
      <c r="P54" s="233">
        <f t="shared" si="2"/>
        <v>-6900.0000000000009</v>
      </c>
      <c r="Q54" s="233">
        <f t="shared" si="3"/>
        <v>-6</v>
      </c>
      <c r="R54" s="234">
        <f t="shared" si="4"/>
        <v>-6894.0000000000009</v>
      </c>
    </row>
    <row r="55" spans="1:18" ht="12" hidden="1" customHeight="1">
      <c r="A55" s="207"/>
      <c r="B55" s="280">
        <v>10</v>
      </c>
      <c r="C55" s="270" t="s">
        <v>165</v>
      </c>
      <c r="D55" s="209">
        <v>500</v>
      </c>
      <c r="E55" s="174">
        <v>500</v>
      </c>
      <c r="F55" s="174">
        <v>500</v>
      </c>
      <c r="G55" s="174">
        <v>-7650</v>
      </c>
      <c r="H55" s="174">
        <v>-7650</v>
      </c>
      <c r="I55" s="174">
        <v>-7650</v>
      </c>
      <c r="J55" s="174">
        <f t="shared" si="5"/>
        <v>-7150</v>
      </c>
      <c r="K55" s="174">
        <f t="shared" si="5"/>
        <v>-7150</v>
      </c>
      <c r="L55" s="174">
        <f t="shared" si="5"/>
        <v>-7150</v>
      </c>
      <c r="M55" s="233">
        <v>33.333333333333336</v>
      </c>
      <c r="N55" s="233">
        <v>33.333333333333336</v>
      </c>
      <c r="O55" s="233">
        <v>33.333333333333336</v>
      </c>
      <c r="P55" s="233">
        <f t="shared" si="2"/>
        <v>-7150</v>
      </c>
      <c r="Q55" s="233">
        <f t="shared" si="3"/>
        <v>-6</v>
      </c>
      <c r="R55" s="234">
        <f t="shared" si="4"/>
        <v>-7144</v>
      </c>
    </row>
    <row r="56" spans="1:18" ht="12" hidden="1" customHeight="1">
      <c r="A56" s="211"/>
      <c r="B56" s="280">
        <v>11</v>
      </c>
      <c r="C56" s="270" t="s">
        <v>166</v>
      </c>
      <c r="D56" s="209">
        <v>500</v>
      </c>
      <c r="E56" s="174">
        <v>500</v>
      </c>
      <c r="F56" s="174">
        <v>500</v>
      </c>
      <c r="G56" s="174">
        <v>-7650</v>
      </c>
      <c r="H56" s="174">
        <v>-7650</v>
      </c>
      <c r="I56" s="174">
        <v>-7650</v>
      </c>
      <c r="J56" s="174">
        <f t="shared" si="5"/>
        <v>-7150</v>
      </c>
      <c r="K56" s="174">
        <f t="shared" si="5"/>
        <v>-7150</v>
      </c>
      <c r="L56" s="174">
        <f t="shared" si="5"/>
        <v>-7150</v>
      </c>
      <c r="M56" s="233">
        <v>33.333333333333336</v>
      </c>
      <c r="N56" s="233">
        <v>33.333333333333336</v>
      </c>
      <c r="O56" s="233">
        <v>33.333333333333336</v>
      </c>
      <c r="P56" s="233">
        <f t="shared" si="2"/>
        <v>-7150</v>
      </c>
      <c r="Q56" s="233">
        <f t="shared" si="3"/>
        <v>-6</v>
      </c>
      <c r="R56" s="234">
        <f t="shared" si="4"/>
        <v>-7144</v>
      </c>
    </row>
    <row r="57" spans="1:18" ht="12" hidden="1" customHeight="1">
      <c r="A57" s="211"/>
      <c r="B57" s="276">
        <v>12</v>
      </c>
      <c r="C57" s="271" t="s">
        <v>167</v>
      </c>
      <c r="D57" s="238">
        <v>500</v>
      </c>
      <c r="E57" s="181">
        <v>500</v>
      </c>
      <c r="F57" s="181">
        <v>500</v>
      </c>
      <c r="G57" s="181">
        <v>-7650</v>
      </c>
      <c r="H57" s="181">
        <v>-7650</v>
      </c>
      <c r="I57" s="181">
        <v>-7650</v>
      </c>
      <c r="J57" s="174">
        <f t="shared" si="5"/>
        <v>-7150</v>
      </c>
      <c r="K57" s="174">
        <f t="shared" si="5"/>
        <v>-7150</v>
      </c>
      <c r="L57" s="174">
        <f t="shared" si="5"/>
        <v>-7150</v>
      </c>
      <c r="M57" s="233">
        <v>33.333333333333336</v>
      </c>
      <c r="N57" s="233">
        <v>33.333333333333336</v>
      </c>
      <c r="O57" s="233">
        <v>33.333333333333336</v>
      </c>
      <c r="P57" s="233">
        <f t="shared" si="2"/>
        <v>-7150</v>
      </c>
      <c r="Q57" s="233">
        <f t="shared" si="3"/>
        <v>-6</v>
      </c>
      <c r="R57" s="234">
        <f t="shared" si="4"/>
        <v>-7144</v>
      </c>
    </row>
    <row r="58" spans="1:18" ht="12" hidden="1" customHeight="1">
      <c r="A58" s="207"/>
      <c r="B58" s="281">
        <v>39814</v>
      </c>
      <c r="C58" s="270" t="s">
        <v>324</v>
      </c>
      <c r="D58" s="209">
        <v>500</v>
      </c>
      <c r="E58" s="174">
        <v>500</v>
      </c>
      <c r="F58" s="174">
        <v>500</v>
      </c>
      <c r="G58" s="174">
        <v>0</v>
      </c>
      <c r="H58" s="174">
        <v>0</v>
      </c>
      <c r="I58" s="174">
        <v>0</v>
      </c>
      <c r="J58" s="177">
        <f t="shared" si="5"/>
        <v>500</v>
      </c>
      <c r="K58" s="177">
        <f t="shared" si="5"/>
        <v>500</v>
      </c>
      <c r="L58" s="177">
        <f t="shared" si="5"/>
        <v>500</v>
      </c>
      <c r="M58" s="239">
        <v>33.333333333333336</v>
      </c>
      <c r="N58" s="239">
        <v>33.333333333333336</v>
      </c>
      <c r="O58" s="239">
        <v>33.333333333333336</v>
      </c>
      <c r="P58" s="239">
        <f t="shared" si="2"/>
        <v>500</v>
      </c>
      <c r="Q58" s="239">
        <f t="shared" si="3"/>
        <v>-6</v>
      </c>
      <c r="R58" s="240">
        <f t="shared" si="4"/>
        <v>506</v>
      </c>
    </row>
    <row r="59" spans="1:18" s="210" customFormat="1" ht="12" hidden="1" customHeight="1">
      <c r="A59" s="208"/>
      <c r="B59" s="280">
        <v>2</v>
      </c>
      <c r="C59" s="270" t="s">
        <v>322</v>
      </c>
      <c r="D59" s="209">
        <v>500</v>
      </c>
      <c r="E59" s="174">
        <v>500</v>
      </c>
      <c r="F59" s="174">
        <v>500</v>
      </c>
      <c r="G59" s="174">
        <v>0</v>
      </c>
      <c r="H59" s="174">
        <v>0</v>
      </c>
      <c r="I59" s="174">
        <v>0</v>
      </c>
      <c r="J59" s="174">
        <f t="shared" si="5"/>
        <v>500</v>
      </c>
      <c r="K59" s="174">
        <f t="shared" si="5"/>
        <v>500</v>
      </c>
      <c r="L59" s="174">
        <f t="shared" si="5"/>
        <v>500</v>
      </c>
      <c r="M59" s="233">
        <v>33.333333333333336</v>
      </c>
      <c r="N59" s="233">
        <v>33.333333333333336</v>
      </c>
      <c r="O59" s="233">
        <v>33.333333333333336</v>
      </c>
      <c r="P59" s="233">
        <f t="shared" si="2"/>
        <v>500</v>
      </c>
      <c r="Q59" s="233">
        <f t="shared" si="3"/>
        <v>-6</v>
      </c>
      <c r="R59" s="234">
        <f t="shared" si="4"/>
        <v>506</v>
      </c>
    </row>
    <row r="60" spans="1:18" ht="12" hidden="1" customHeight="1">
      <c r="A60" s="211"/>
      <c r="B60" s="280">
        <v>3</v>
      </c>
      <c r="C60" s="270" t="s">
        <v>168</v>
      </c>
      <c r="D60" s="209">
        <v>500</v>
      </c>
      <c r="E60" s="174">
        <v>500</v>
      </c>
      <c r="F60" s="174">
        <v>500</v>
      </c>
      <c r="G60" s="174">
        <v>0</v>
      </c>
      <c r="H60" s="174">
        <v>0</v>
      </c>
      <c r="I60" s="174">
        <v>0</v>
      </c>
      <c r="J60" s="174">
        <f t="shared" si="5"/>
        <v>500</v>
      </c>
      <c r="K60" s="174">
        <f t="shared" si="5"/>
        <v>500</v>
      </c>
      <c r="L60" s="174">
        <f t="shared" si="5"/>
        <v>500</v>
      </c>
      <c r="M60" s="233">
        <v>33.333333333333336</v>
      </c>
      <c r="N60" s="233">
        <v>33.333333333333336</v>
      </c>
      <c r="O60" s="233">
        <v>33.333333333333336</v>
      </c>
      <c r="P60" s="233">
        <f t="shared" si="2"/>
        <v>500</v>
      </c>
      <c r="Q60" s="233">
        <f t="shared" si="3"/>
        <v>-6</v>
      </c>
      <c r="R60" s="234">
        <f t="shared" si="4"/>
        <v>506</v>
      </c>
    </row>
    <row r="61" spans="1:18" ht="12" hidden="1" customHeight="1">
      <c r="A61" s="207"/>
      <c r="B61" s="280">
        <v>4</v>
      </c>
      <c r="C61" s="270" t="s">
        <v>169</v>
      </c>
      <c r="D61" s="209">
        <v>500</v>
      </c>
      <c r="E61" s="174">
        <v>500</v>
      </c>
      <c r="F61" s="174">
        <v>500</v>
      </c>
      <c r="G61" s="174">
        <v>0</v>
      </c>
      <c r="H61" s="174">
        <v>0</v>
      </c>
      <c r="I61" s="174">
        <v>0</v>
      </c>
      <c r="J61" s="174">
        <f t="shared" si="5"/>
        <v>500</v>
      </c>
      <c r="K61" s="174">
        <f t="shared" si="5"/>
        <v>500</v>
      </c>
      <c r="L61" s="174">
        <f t="shared" si="5"/>
        <v>500</v>
      </c>
      <c r="M61" s="233">
        <v>33.333333333333336</v>
      </c>
      <c r="N61" s="233">
        <v>33.333333333333336</v>
      </c>
      <c r="O61" s="233">
        <v>33.333333333333336</v>
      </c>
      <c r="P61" s="233">
        <f t="shared" si="2"/>
        <v>500</v>
      </c>
      <c r="Q61" s="233">
        <f t="shared" si="3"/>
        <v>-6</v>
      </c>
      <c r="R61" s="234">
        <f t="shared" si="4"/>
        <v>506</v>
      </c>
    </row>
    <row r="62" spans="1:18" ht="12" hidden="1" customHeight="1">
      <c r="A62" s="211"/>
      <c r="B62" s="280">
        <v>5</v>
      </c>
      <c r="C62" s="270" t="s">
        <v>160</v>
      </c>
      <c r="D62" s="209">
        <v>500</v>
      </c>
      <c r="E62" s="174">
        <v>500</v>
      </c>
      <c r="F62" s="174">
        <v>500</v>
      </c>
      <c r="G62" s="174">
        <v>0</v>
      </c>
      <c r="H62" s="174">
        <v>0</v>
      </c>
      <c r="I62" s="174">
        <v>0</v>
      </c>
      <c r="J62" s="174">
        <f t="shared" si="5"/>
        <v>500</v>
      </c>
      <c r="K62" s="174">
        <f t="shared" si="5"/>
        <v>500</v>
      </c>
      <c r="L62" s="174">
        <f t="shared" si="5"/>
        <v>500</v>
      </c>
      <c r="M62" s="233">
        <v>33.333333333333336</v>
      </c>
      <c r="N62" s="233">
        <v>33.333333333333336</v>
      </c>
      <c r="O62" s="233">
        <v>33.333333333333336</v>
      </c>
      <c r="P62" s="233">
        <f t="shared" si="2"/>
        <v>500</v>
      </c>
      <c r="Q62" s="233">
        <f t="shared" si="3"/>
        <v>-6</v>
      </c>
      <c r="R62" s="234">
        <f t="shared" si="4"/>
        <v>506</v>
      </c>
    </row>
    <row r="63" spans="1:18" ht="12" hidden="1" customHeight="1">
      <c r="A63" s="211"/>
      <c r="B63" s="280">
        <v>6</v>
      </c>
      <c r="C63" s="270" t="s">
        <v>161</v>
      </c>
      <c r="D63" s="209">
        <v>500</v>
      </c>
      <c r="E63" s="174">
        <v>500</v>
      </c>
      <c r="F63" s="174">
        <v>500</v>
      </c>
      <c r="G63" s="174">
        <v>0</v>
      </c>
      <c r="H63" s="174">
        <v>0</v>
      </c>
      <c r="I63" s="174">
        <v>0</v>
      </c>
      <c r="J63" s="174">
        <f t="shared" si="5"/>
        <v>500</v>
      </c>
      <c r="K63" s="174">
        <f t="shared" si="5"/>
        <v>500</v>
      </c>
      <c r="L63" s="174">
        <f t="shared" si="5"/>
        <v>500</v>
      </c>
      <c r="M63" s="233">
        <v>33.333333333333336</v>
      </c>
      <c r="N63" s="233">
        <v>33.333333333333336</v>
      </c>
      <c r="O63" s="233">
        <v>33.333333333333336</v>
      </c>
      <c r="P63" s="233">
        <f t="shared" si="2"/>
        <v>500</v>
      </c>
      <c r="Q63" s="233">
        <f t="shared" si="3"/>
        <v>-6</v>
      </c>
      <c r="R63" s="234">
        <f t="shared" si="4"/>
        <v>506</v>
      </c>
    </row>
    <row r="64" spans="1:18" ht="12" hidden="1" customHeight="1">
      <c r="A64" s="207"/>
      <c r="B64" s="280">
        <v>7</v>
      </c>
      <c r="C64" s="270" t="s">
        <v>162</v>
      </c>
      <c r="D64" s="209">
        <v>500</v>
      </c>
      <c r="E64" s="174">
        <v>500</v>
      </c>
      <c r="F64" s="174">
        <v>500</v>
      </c>
      <c r="G64" s="174">
        <v>0</v>
      </c>
      <c r="H64" s="174">
        <v>0</v>
      </c>
      <c r="I64" s="174">
        <v>0</v>
      </c>
      <c r="J64" s="174">
        <f t="shared" si="5"/>
        <v>500</v>
      </c>
      <c r="K64" s="174">
        <f t="shared" si="5"/>
        <v>500</v>
      </c>
      <c r="L64" s="174">
        <f t="shared" si="5"/>
        <v>500</v>
      </c>
      <c r="M64" s="233">
        <v>33.333333333333336</v>
      </c>
      <c r="N64" s="233">
        <v>33.333333333333336</v>
      </c>
      <c r="O64" s="233">
        <v>33.333333333333336</v>
      </c>
      <c r="P64" s="233">
        <f t="shared" si="2"/>
        <v>500</v>
      </c>
      <c r="Q64" s="233">
        <f t="shared" si="3"/>
        <v>-6</v>
      </c>
      <c r="R64" s="234">
        <f t="shared" si="4"/>
        <v>506</v>
      </c>
    </row>
    <row r="65" spans="1:18" ht="12" hidden="1" customHeight="1">
      <c r="A65" s="211"/>
      <c r="B65" s="280">
        <v>8</v>
      </c>
      <c r="C65" s="270" t="s">
        <v>163</v>
      </c>
      <c r="D65" s="209">
        <v>500</v>
      </c>
      <c r="E65" s="174">
        <v>500</v>
      </c>
      <c r="F65" s="174">
        <v>500</v>
      </c>
      <c r="G65" s="174">
        <v>0</v>
      </c>
      <c r="H65" s="174">
        <v>0</v>
      </c>
      <c r="I65" s="174">
        <v>0</v>
      </c>
      <c r="J65" s="174">
        <f t="shared" si="5"/>
        <v>500</v>
      </c>
      <c r="K65" s="174">
        <f t="shared" si="5"/>
        <v>500</v>
      </c>
      <c r="L65" s="174">
        <f t="shared" si="5"/>
        <v>500</v>
      </c>
      <c r="M65" s="233">
        <v>33.333333333333336</v>
      </c>
      <c r="N65" s="233">
        <v>33.333333333333336</v>
      </c>
      <c r="O65" s="233">
        <v>33.333333333333336</v>
      </c>
      <c r="P65" s="233">
        <f t="shared" si="2"/>
        <v>500</v>
      </c>
      <c r="Q65" s="233">
        <f t="shared" si="3"/>
        <v>-6</v>
      </c>
      <c r="R65" s="234">
        <f t="shared" si="4"/>
        <v>506</v>
      </c>
    </row>
    <row r="66" spans="1:18" ht="12" hidden="1" customHeight="1">
      <c r="A66" s="211"/>
      <c r="B66" s="280">
        <v>9</v>
      </c>
      <c r="C66" s="270" t="s">
        <v>164</v>
      </c>
      <c r="D66" s="209">
        <v>500</v>
      </c>
      <c r="E66" s="174">
        <v>500</v>
      </c>
      <c r="F66" s="174">
        <v>500</v>
      </c>
      <c r="G66" s="174">
        <v>0</v>
      </c>
      <c r="H66" s="174">
        <v>0</v>
      </c>
      <c r="I66" s="174">
        <v>0</v>
      </c>
      <c r="J66" s="174">
        <f t="shared" si="5"/>
        <v>500</v>
      </c>
      <c r="K66" s="174">
        <f t="shared" si="5"/>
        <v>500</v>
      </c>
      <c r="L66" s="174">
        <f t="shared" si="5"/>
        <v>500</v>
      </c>
      <c r="M66" s="233">
        <v>33.333333333333336</v>
      </c>
      <c r="N66" s="233">
        <v>33.333333333333336</v>
      </c>
      <c r="O66" s="233">
        <v>33.333333333333336</v>
      </c>
      <c r="P66" s="233">
        <f t="shared" si="2"/>
        <v>500</v>
      </c>
      <c r="Q66" s="233">
        <f t="shared" si="3"/>
        <v>-6</v>
      </c>
      <c r="R66" s="234">
        <f t="shared" si="4"/>
        <v>506</v>
      </c>
    </row>
    <row r="67" spans="1:18" ht="12" hidden="1" customHeight="1">
      <c r="A67" s="207"/>
      <c r="B67" s="280">
        <v>10</v>
      </c>
      <c r="C67" s="270" t="s">
        <v>165</v>
      </c>
      <c r="D67" s="209">
        <v>500</v>
      </c>
      <c r="E67" s="174">
        <v>500</v>
      </c>
      <c r="F67" s="174">
        <v>500</v>
      </c>
      <c r="G67" s="174">
        <v>0</v>
      </c>
      <c r="H67" s="174">
        <v>0</v>
      </c>
      <c r="I67" s="174">
        <v>0</v>
      </c>
      <c r="J67" s="174">
        <f>D67+G67</f>
        <v>500</v>
      </c>
      <c r="K67" s="174">
        <f t="shared" ref="K67:L117" si="6">E67+H67</f>
        <v>500</v>
      </c>
      <c r="L67" s="174">
        <f t="shared" si="6"/>
        <v>500</v>
      </c>
      <c r="M67" s="233">
        <v>33.333333333333336</v>
      </c>
      <c r="N67" s="233">
        <v>33.333333333333336</v>
      </c>
      <c r="O67" s="233">
        <v>33.333333333333336</v>
      </c>
      <c r="P67" s="233">
        <f t="shared" si="2"/>
        <v>500</v>
      </c>
      <c r="Q67" s="233">
        <f t="shared" si="3"/>
        <v>-6</v>
      </c>
      <c r="R67" s="234">
        <f t="shared" si="4"/>
        <v>506</v>
      </c>
    </row>
    <row r="68" spans="1:18" ht="12" hidden="1" customHeight="1">
      <c r="A68" s="211"/>
      <c r="B68" s="280">
        <v>11</v>
      </c>
      <c r="C68" s="270" t="s">
        <v>166</v>
      </c>
      <c r="D68" s="209">
        <v>500</v>
      </c>
      <c r="E68" s="174">
        <v>500</v>
      </c>
      <c r="F68" s="174">
        <v>500</v>
      </c>
      <c r="G68" s="174">
        <v>0</v>
      </c>
      <c r="H68" s="174">
        <v>0</v>
      </c>
      <c r="I68" s="174">
        <v>0</v>
      </c>
      <c r="J68" s="174">
        <f t="shared" ref="J68:L118" si="7">D68+G68</f>
        <v>500</v>
      </c>
      <c r="K68" s="174">
        <f t="shared" si="6"/>
        <v>500</v>
      </c>
      <c r="L68" s="174">
        <f t="shared" si="6"/>
        <v>500</v>
      </c>
      <c r="M68" s="233">
        <v>33.333333333333336</v>
      </c>
      <c r="N68" s="233">
        <v>33.333333333333336</v>
      </c>
      <c r="O68" s="233">
        <v>33.333333333333336</v>
      </c>
      <c r="P68" s="233">
        <f t="shared" si="2"/>
        <v>500</v>
      </c>
      <c r="Q68" s="233">
        <f t="shared" si="3"/>
        <v>-6</v>
      </c>
      <c r="R68" s="234">
        <f t="shared" si="4"/>
        <v>506</v>
      </c>
    </row>
    <row r="69" spans="1:18" ht="12" hidden="1" customHeight="1">
      <c r="A69" s="211"/>
      <c r="B69" s="280">
        <v>12</v>
      </c>
      <c r="C69" s="270" t="s">
        <v>167</v>
      </c>
      <c r="D69" s="209">
        <v>500</v>
      </c>
      <c r="E69" s="174">
        <v>500</v>
      </c>
      <c r="F69" s="174">
        <v>500</v>
      </c>
      <c r="G69" s="174">
        <v>0</v>
      </c>
      <c r="H69" s="174">
        <v>0</v>
      </c>
      <c r="I69" s="174">
        <v>0</v>
      </c>
      <c r="J69" s="181">
        <f t="shared" si="7"/>
        <v>500</v>
      </c>
      <c r="K69" s="181">
        <f t="shared" si="6"/>
        <v>500</v>
      </c>
      <c r="L69" s="181">
        <f t="shared" si="6"/>
        <v>500</v>
      </c>
      <c r="M69" s="235">
        <v>33.333333333333336</v>
      </c>
      <c r="N69" s="235">
        <v>33.333333333333336</v>
      </c>
      <c r="O69" s="235">
        <v>33.333333333333336</v>
      </c>
      <c r="P69" s="235">
        <f t="shared" si="2"/>
        <v>500</v>
      </c>
      <c r="Q69" s="235">
        <f t="shared" si="3"/>
        <v>-6</v>
      </c>
      <c r="R69" s="236">
        <f t="shared" si="4"/>
        <v>506</v>
      </c>
    </row>
    <row r="70" spans="1:18" ht="12" hidden="1" customHeight="1">
      <c r="A70" s="207"/>
      <c r="B70" s="275">
        <v>40179</v>
      </c>
      <c r="C70" s="272" t="s">
        <v>325</v>
      </c>
      <c r="D70" s="237">
        <v>500</v>
      </c>
      <c r="E70" s="177">
        <v>500</v>
      </c>
      <c r="F70" s="177">
        <v>500</v>
      </c>
      <c r="G70" s="177">
        <v>0</v>
      </c>
      <c r="H70" s="177">
        <v>0</v>
      </c>
      <c r="I70" s="177">
        <v>0</v>
      </c>
      <c r="J70" s="174">
        <f t="shared" si="7"/>
        <v>500</v>
      </c>
      <c r="K70" s="174">
        <f t="shared" si="6"/>
        <v>500</v>
      </c>
      <c r="L70" s="174">
        <f t="shared" si="6"/>
        <v>500</v>
      </c>
      <c r="M70" s="233">
        <v>33.333333333333336</v>
      </c>
      <c r="N70" s="233">
        <v>33.333333333333336</v>
      </c>
      <c r="O70" s="233">
        <v>33.333333333333336</v>
      </c>
      <c r="P70" s="233">
        <f t="shared" si="2"/>
        <v>500</v>
      </c>
      <c r="Q70" s="233">
        <f t="shared" si="3"/>
        <v>-6</v>
      </c>
      <c r="R70" s="234">
        <f t="shared" si="4"/>
        <v>506</v>
      </c>
    </row>
    <row r="71" spans="1:18" s="210" customFormat="1" ht="12" hidden="1" customHeight="1">
      <c r="A71" s="208"/>
      <c r="B71" s="280">
        <v>2</v>
      </c>
      <c r="C71" s="270" t="s">
        <v>322</v>
      </c>
      <c r="D71" s="209">
        <v>500</v>
      </c>
      <c r="E71" s="174">
        <v>500</v>
      </c>
      <c r="F71" s="174">
        <v>500</v>
      </c>
      <c r="G71" s="174">
        <v>0</v>
      </c>
      <c r="H71" s="174">
        <v>0</v>
      </c>
      <c r="I71" s="174">
        <v>0</v>
      </c>
      <c r="J71" s="174">
        <f t="shared" si="7"/>
        <v>500</v>
      </c>
      <c r="K71" s="174">
        <f t="shared" si="6"/>
        <v>500</v>
      </c>
      <c r="L71" s="174">
        <f t="shared" si="6"/>
        <v>500</v>
      </c>
      <c r="M71" s="233">
        <v>33.333333333333336</v>
      </c>
      <c r="N71" s="233">
        <v>33.333333333333336</v>
      </c>
      <c r="O71" s="233">
        <v>33.333333333333336</v>
      </c>
      <c r="P71" s="233">
        <f t="shared" si="2"/>
        <v>500</v>
      </c>
      <c r="Q71" s="233">
        <f t="shared" si="3"/>
        <v>-6</v>
      </c>
      <c r="R71" s="234">
        <f t="shared" si="4"/>
        <v>506</v>
      </c>
    </row>
    <row r="72" spans="1:18" ht="12" hidden="1" customHeight="1">
      <c r="A72" s="211"/>
      <c r="B72" s="280">
        <v>3</v>
      </c>
      <c r="C72" s="270" t="s">
        <v>168</v>
      </c>
      <c r="D72" s="209">
        <v>500</v>
      </c>
      <c r="E72" s="174">
        <v>500</v>
      </c>
      <c r="F72" s="174">
        <v>500</v>
      </c>
      <c r="G72" s="174">
        <v>0</v>
      </c>
      <c r="H72" s="174">
        <v>0</v>
      </c>
      <c r="I72" s="174">
        <v>0</v>
      </c>
      <c r="J72" s="174">
        <f t="shared" si="7"/>
        <v>500</v>
      </c>
      <c r="K72" s="174">
        <f t="shared" si="6"/>
        <v>500</v>
      </c>
      <c r="L72" s="174">
        <f t="shared" si="6"/>
        <v>500</v>
      </c>
      <c r="M72" s="233">
        <v>33.333333333333336</v>
      </c>
      <c r="N72" s="233">
        <v>33.333333333333336</v>
      </c>
      <c r="O72" s="233">
        <v>33.333333333333336</v>
      </c>
      <c r="P72" s="233">
        <f t="shared" si="2"/>
        <v>500</v>
      </c>
      <c r="Q72" s="233">
        <f t="shared" si="3"/>
        <v>-6</v>
      </c>
      <c r="R72" s="234">
        <f t="shared" si="4"/>
        <v>506</v>
      </c>
    </row>
    <row r="73" spans="1:18" ht="12" hidden="1" customHeight="1">
      <c r="A73" s="207"/>
      <c r="B73" s="280">
        <v>4</v>
      </c>
      <c r="C73" s="270" t="s">
        <v>169</v>
      </c>
      <c r="D73" s="209">
        <v>500</v>
      </c>
      <c r="E73" s="174">
        <v>500</v>
      </c>
      <c r="F73" s="174">
        <v>500</v>
      </c>
      <c r="G73" s="174">
        <v>0</v>
      </c>
      <c r="H73" s="174">
        <v>0</v>
      </c>
      <c r="I73" s="174">
        <v>0</v>
      </c>
      <c r="J73" s="174">
        <f t="shared" si="7"/>
        <v>500</v>
      </c>
      <c r="K73" s="174">
        <f t="shared" si="6"/>
        <v>500</v>
      </c>
      <c r="L73" s="174">
        <f t="shared" si="6"/>
        <v>500</v>
      </c>
      <c r="M73" s="233">
        <v>33.333333333333336</v>
      </c>
      <c r="N73" s="233">
        <v>33.333333333333336</v>
      </c>
      <c r="O73" s="233">
        <v>33.333333333333336</v>
      </c>
      <c r="P73" s="233">
        <f t="shared" si="2"/>
        <v>500</v>
      </c>
      <c r="Q73" s="233">
        <f t="shared" si="3"/>
        <v>-6</v>
      </c>
      <c r="R73" s="234">
        <f t="shared" si="4"/>
        <v>506</v>
      </c>
    </row>
    <row r="74" spans="1:18" ht="12" hidden="1" customHeight="1">
      <c r="A74" s="211"/>
      <c r="B74" s="280">
        <v>5</v>
      </c>
      <c r="C74" s="270" t="s">
        <v>160</v>
      </c>
      <c r="D74" s="209">
        <v>500</v>
      </c>
      <c r="E74" s="174">
        <v>500</v>
      </c>
      <c r="F74" s="174">
        <v>500</v>
      </c>
      <c r="G74" s="174">
        <v>0</v>
      </c>
      <c r="H74" s="174">
        <v>0</v>
      </c>
      <c r="I74" s="174">
        <v>0</v>
      </c>
      <c r="J74" s="174">
        <f t="shared" si="7"/>
        <v>500</v>
      </c>
      <c r="K74" s="174">
        <f t="shared" si="6"/>
        <v>500</v>
      </c>
      <c r="L74" s="174">
        <f t="shared" si="6"/>
        <v>500</v>
      </c>
      <c r="M74" s="233">
        <v>33.333333333333336</v>
      </c>
      <c r="N74" s="233">
        <v>33.333333333333336</v>
      </c>
      <c r="O74" s="233">
        <v>33.333333333333336</v>
      </c>
      <c r="P74" s="233">
        <f t="shared" si="2"/>
        <v>500</v>
      </c>
      <c r="Q74" s="233">
        <f t="shared" si="3"/>
        <v>-6</v>
      </c>
      <c r="R74" s="234">
        <f t="shared" si="4"/>
        <v>506</v>
      </c>
    </row>
    <row r="75" spans="1:18" ht="12" hidden="1" customHeight="1">
      <c r="A75" s="211"/>
      <c r="B75" s="280">
        <v>6</v>
      </c>
      <c r="C75" s="270" t="s">
        <v>161</v>
      </c>
      <c r="D75" s="209">
        <v>500</v>
      </c>
      <c r="E75" s="174">
        <v>500</v>
      </c>
      <c r="F75" s="174">
        <v>500</v>
      </c>
      <c r="G75" s="174">
        <v>0</v>
      </c>
      <c r="H75" s="174">
        <v>0</v>
      </c>
      <c r="I75" s="174">
        <v>0</v>
      </c>
      <c r="J75" s="174">
        <f t="shared" si="7"/>
        <v>500</v>
      </c>
      <c r="K75" s="174">
        <f t="shared" si="6"/>
        <v>500</v>
      </c>
      <c r="L75" s="174">
        <f t="shared" si="6"/>
        <v>500</v>
      </c>
      <c r="M75" s="233">
        <v>33.333333333333336</v>
      </c>
      <c r="N75" s="233">
        <v>33.333333333333336</v>
      </c>
      <c r="O75" s="233">
        <v>33.333333333333336</v>
      </c>
      <c r="P75" s="233">
        <f t="shared" ref="P75:P129" si="8">(J75*M75+K75*N75+L75*O75)/100</f>
        <v>500</v>
      </c>
      <c r="Q75" s="233">
        <f t="shared" ref="Q75:Q117" si="9">$J$269</f>
        <v>-6</v>
      </c>
      <c r="R75" s="234">
        <f t="shared" ref="R75:R129" si="10">P75-Q75</f>
        <v>506</v>
      </c>
    </row>
    <row r="76" spans="1:18" ht="12" hidden="1" customHeight="1">
      <c r="A76" s="207"/>
      <c r="B76" s="280">
        <v>7</v>
      </c>
      <c r="C76" s="270" t="s">
        <v>162</v>
      </c>
      <c r="D76" s="209">
        <v>500</v>
      </c>
      <c r="E76" s="174">
        <v>500</v>
      </c>
      <c r="F76" s="174">
        <v>500</v>
      </c>
      <c r="G76" s="174">
        <v>0</v>
      </c>
      <c r="H76" s="174">
        <v>0</v>
      </c>
      <c r="I76" s="174">
        <v>0</v>
      </c>
      <c r="J76" s="174">
        <f t="shared" si="7"/>
        <v>500</v>
      </c>
      <c r="K76" s="174">
        <f t="shared" si="6"/>
        <v>500</v>
      </c>
      <c r="L76" s="174">
        <f t="shared" si="6"/>
        <v>500</v>
      </c>
      <c r="M76" s="233">
        <v>33.333333333333336</v>
      </c>
      <c r="N76" s="233">
        <v>33.333333333333336</v>
      </c>
      <c r="O76" s="233">
        <v>33.333333333333336</v>
      </c>
      <c r="P76" s="233">
        <f t="shared" si="8"/>
        <v>500</v>
      </c>
      <c r="Q76" s="233">
        <f t="shared" si="9"/>
        <v>-6</v>
      </c>
      <c r="R76" s="234">
        <f t="shared" si="10"/>
        <v>506</v>
      </c>
    </row>
    <row r="77" spans="1:18" ht="12" hidden="1" customHeight="1">
      <c r="A77" s="211"/>
      <c r="B77" s="280">
        <v>8</v>
      </c>
      <c r="C77" s="270" t="s">
        <v>163</v>
      </c>
      <c r="D77" s="209">
        <v>500</v>
      </c>
      <c r="E77" s="174">
        <v>500</v>
      </c>
      <c r="F77" s="174">
        <v>500</v>
      </c>
      <c r="G77" s="174">
        <v>0</v>
      </c>
      <c r="H77" s="174">
        <v>0</v>
      </c>
      <c r="I77" s="174">
        <v>0</v>
      </c>
      <c r="J77" s="174">
        <f t="shared" si="7"/>
        <v>500</v>
      </c>
      <c r="K77" s="174">
        <f t="shared" si="6"/>
        <v>500</v>
      </c>
      <c r="L77" s="174">
        <f t="shared" si="6"/>
        <v>500</v>
      </c>
      <c r="M77" s="233">
        <v>33.333333333333336</v>
      </c>
      <c r="N77" s="233">
        <v>33.333333333333336</v>
      </c>
      <c r="O77" s="233">
        <v>33.333333333333336</v>
      </c>
      <c r="P77" s="233">
        <f t="shared" si="8"/>
        <v>500</v>
      </c>
      <c r="Q77" s="233">
        <f t="shared" si="9"/>
        <v>-6</v>
      </c>
      <c r="R77" s="234">
        <f t="shared" si="10"/>
        <v>506</v>
      </c>
    </row>
    <row r="78" spans="1:18" ht="12" hidden="1" customHeight="1">
      <c r="A78" s="211"/>
      <c r="B78" s="280">
        <v>9</v>
      </c>
      <c r="C78" s="270" t="s">
        <v>164</v>
      </c>
      <c r="D78" s="209">
        <v>500</v>
      </c>
      <c r="E78" s="174">
        <v>500</v>
      </c>
      <c r="F78" s="174">
        <v>500</v>
      </c>
      <c r="G78" s="174">
        <v>0</v>
      </c>
      <c r="H78" s="174">
        <v>0</v>
      </c>
      <c r="I78" s="174">
        <v>0</v>
      </c>
      <c r="J78" s="174">
        <f t="shared" si="7"/>
        <v>500</v>
      </c>
      <c r="K78" s="174">
        <f t="shared" si="6"/>
        <v>500</v>
      </c>
      <c r="L78" s="174">
        <f t="shared" si="6"/>
        <v>500</v>
      </c>
      <c r="M78" s="233">
        <v>33.333333333333336</v>
      </c>
      <c r="N78" s="233">
        <v>33.333333333333336</v>
      </c>
      <c r="O78" s="233">
        <v>33.333333333333336</v>
      </c>
      <c r="P78" s="233">
        <f t="shared" si="8"/>
        <v>500</v>
      </c>
      <c r="Q78" s="233">
        <f t="shared" si="9"/>
        <v>-6</v>
      </c>
      <c r="R78" s="234">
        <f t="shared" si="10"/>
        <v>506</v>
      </c>
    </row>
    <row r="79" spans="1:18" ht="12" hidden="1" customHeight="1">
      <c r="A79" s="207"/>
      <c r="B79" s="280">
        <v>10</v>
      </c>
      <c r="C79" s="270" t="s">
        <v>165</v>
      </c>
      <c r="D79" s="209">
        <v>500</v>
      </c>
      <c r="E79" s="174">
        <v>500</v>
      </c>
      <c r="F79" s="174">
        <v>500</v>
      </c>
      <c r="G79" s="174">
        <v>0</v>
      </c>
      <c r="H79" s="174">
        <v>0</v>
      </c>
      <c r="I79" s="174">
        <v>0</v>
      </c>
      <c r="J79" s="174">
        <f t="shared" si="7"/>
        <v>500</v>
      </c>
      <c r="K79" s="174">
        <f t="shared" si="6"/>
        <v>500</v>
      </c>
      <c r="L79" s="174">
        <f t="shared" si="6"/>
        <v>500</v>
      </c>
      <c r="M79" s="233">
        <v>33.333333333333336</v>
      </c>
      <c r="N79" s="233">
        <v>33.333333333333336</v>
      </c>
      <c r="O79" s="233">
        <v>33.333333333333336</v>
      </c>
      <c r="P79" s="233">
        <f t="shared" si="8"/>
        <v>500</v>
      </c>
      <c r="Q79" s="233">
        <f t="shared" si="9"/>
        <v>-6</v>
      </c>
      <c r="R79" s="234">
        <f t="shared" si="10"/>
        <v>506</v>
      </c>
    </row>
    <row r="80" spans="1:18" ht="12" hidden="1" customHeight="1">
      <c r="A80" s="211"/>
      <c r="B80" s="280">
        <v>11</v>
      </c>
      <c r="C80" s="270" t="s">
        <v>166</v>
      </c>
      <c r="D80" s="209">
        <v>500</v>
      </c>
      <c r="E80" s="174">
        <v>500</v>
      </c>
      <c r="F80" s="174">
        <v>500</v>
      </c>
      <c r="G80" s="174">
        <v>0</v>
      </c>
      <c r="H80" s="174">
        <v>0</v>
      </c>
      <c r="I80" s="174">
        <v>0</v>
      </c>
      <c r="J80" s="174">
        <f t="shared" si="7"/>
        <v>500</v>
      </c>
      <c r="K80" s="174">
        <f t="shared" si="6"/>
        <v>500</v>
      </c>
      <c r="L80" s="174">
        <f t="shared" si="6"/>
        <v>500</v>
      </c>
      <c r="M80" s="233">
        <v>33.333333333333336</v>
      </c>
      <c r="N80" s="233">
        <v>33.333333333333336</v>
      </c>
      <c r="O80" s="233">
        <v>33.333333333333336</v>
      </c>
      <c r="P80" s="233">
        <f t="shared" si="8"/>
        <v>500</v>
      </c>
      <c r="Q80" s="233">
        <f t="shared" si="9"/>
        <v>-6</v>
      </c>
      <c r="R80" s="234">
        <f t="shared" si="10"/>
        <v>506</v>
      </c>
    </row>
    <row r="81" spans="1:18" ht="12" hidden="1" customHeight="1">
      <c r="A81" s="211"/>
      <c r="B81" s="276">
        <v>12</v>
      </c>
      <c r="C81" s="271" t="s">
        <v>167</v>
      </c>
      <c r="D81" s="238">
        <v>500</v>
      </c>
      <c r="E81" s="181">
        <v>500</v>
      </c>
      <c r="F81" s="181">
        <v>500</v>
      </c>
      <c r="G81" s="181">
        <v>0</v>
      </c>
      <c r="H81" s="181">
        <v>0</v>
      </c>
      <c r="I81" s="181">
        <v>0</v>
      </c>
      <c r="J81" s="174">
        <f t="shared" si="7"/>
        <v>500</v>
      </c>
      <c r="K81" s="174">
        <f t="shared" si="6"/>
        <v>500</v>
      </c>
      <c r="L81" s="174">
        <f t="shared" si="6"/>
        <v>500</v>
      </c>
      <c r="M81" s="233">
        <v>33.333333333333336</v>
      </c>
      <c r="N81" s="233">
        <v>33.333333333333336</v>
      </c>
      <c r="O81" s="233">
        <v>33.333333333333336</v>
      </c>
      <c r="P81" s="233">
        <f t="shared" si="8"/>
        <v>500</v>
      </c>
      <c r="Q81" s="233">
        <f t="shared" si="9"/>
        <v>-6</v>
      </c>
      <c r="R81" s="234">
        <f t="shared" si="10"/>
        <v>506</v>
      </c>
    </row>
    <row r="82" spans="1:18" ht="12" hidden="1" customHeight="1">
      <c r="A82" s="207"/>
      <c r="B82" s="281">
        <v>40544</v>
      </c>
      <c r="C82" s="270" t="s">
        <v>326</v>
      </c>
      <c r="D82" s="209">
        <v>500</v>
      </c>
      <c r="E82" s="174">
        <v>500</v>
      </c>
      <c r="F82" s="174">
        <v>500</v>
      </c>
      <c r="G82" s="174">
        <v>-3250</v>
      </c>
      <c r="H82" s="174">
        <v>-3250</v>
      </c>
      <c r="I82" s="174">
        <v>-3250</v>
      </c>
      <c r="J82" s="177">
        <f t="shared" si="7"/>
        <v>-2750</v>
      </c>
      <c r="K82" s="177">
        <f t="shared" si="6"/>
        <v>-2750</v>
      </c>
      <c r="L82" s="177">
        <f t="shared" si="6"/>
        <v>-2750</v>
      </c>
      <c r="M82" s="239">
        <v>33.333333333333336</v>
      </c>
      <c r="N82" s="239">
        <v>33.333333333333336</v>
      </c>
      <c r="O82" s="239">
        <v>33.333333333333336</v>
      </c>
      <c r="P82" s="239">
        <f t="shared" si="8"/>
        <v>-2750</v>
      </c>
      <c r="Q82" s="239">
        <f t="shared" si="9"/>
        <v>-6</v>
      </c>
      <c r="R82" s="240">
        <f t="shared" si="10"/>
        <v>-2744</v>
      </c>
    </row>
    <row r="83" spans="1:18" s="210" customFormat="1" ht="12" hidden="1" customHeight="1">
      <c r="A83" s="208"/>
      <c r="B83" s="280">
        <v>2</v>
      </c>
      <c r="C83" s="270" t="s">
        <v>327</v>
      </c>
      <c r="D83" s="209">
        <v>500</v>
      </c>
      <c r="E83" s="174">
        <v>500</v>
      </c>
      <c r="F83" s="174">
        <v>500</v>
      </c>
      <c r="G83" s="174">
        <v>-3250</v>
      </c>
      <c r="H83" s="174">
        <v>-3250</v>
      </c>
      <c r="I83" s="174">
        <v>-3250</v>
      </c>
      <c r="J83" s="174">
        <f t="shared" si="7"/>
        <v>-2750</v>
      </c>
      <c r="K83" s="174">
        <f t="shared" si="6"/>
        <v>-2750</v>
      </c>
      <c r="L83" s="174">
        <f t="shared" si="6"/>
        <v>-2750</v>
      </c>
      <c r="M83" s="233">
        <v>33.333333333333336</v>
      </c>
      <c r="N83" s="233">
        <v>33.333333333333336</v>
      </c>
      <c r="O83" s="233">
        <v>33.333333333333336</v>
      </c>
      <c r="P83" s="233">
        <f t="shared" si="8"/>
        <v>-2750</v>
      </c>
      <c r="Q83" s="233">
        <f t="shared" si="9"/>
        <v>-6</v>
      </c>
      <c r="R83" s="234">
        <f t="shared" si="10"/>
        <v>-2744</v>
      </c>
    </row>
    <row r="84" spans="1:18" ht="12" hidden="1" customHeight="1">
      <c r="A84" s="211"/>
      <c r="B84" s="280">
        <v>3</v>
      </c>
      <c r="C84" s="270" t="s">
        <v>168</v>
      </c>
      <c r="D84" s="209">
        <v>500</v>
      </c>
      <c r="E84" s="174">
        <v>500</v>
      </c>
      <c r="F84" s="174">
        <v>500</v>
      </c>
      <c r="G84" s="174">
        <v>-3250</v>
      </c>
      <c r="H84" s="174">
        <v>-3250</v>
      </c>
      <c r="I84" s="174">
        <v>-3250</v>
      </c>
      <c r="J84" s="174">
        <f t="shared" si="7"/>
        <v>-2750</v>
      </c>
      <c r="K84" s="174">
        <f t="shared" si="6"/>
        <v>-2750</v>
      </c>
      <c r="L84" s="174">
        <f t="shared" si="6"/>
        <v>-2750</v>
      </c>
      <c r="M84" s="233">
        <v>33.333333333333336</v>
      </c>
      <c r="N84" s="233">
        <v>33.333333333333336</v>
      </c>
      <c r="O84" s="233">
        <v>33.333333333333336</v>
      </c>
      <c r="P84" s="233">
        <f t="shared" si="8"/>
        <v>-2750</v>
      </c>
      <c r="Q84" s="233">
        <f t="shared" si="9"/>
        <v>-6</v>
      </c>
      <c r="R84" s="234">
        <f t="shared" si="10"/>
        <v>-2744</v>
      </c>
    </row>
    <row r="85" spans="1:18" ht="12" hidden="1" customHeight="1">
      <c r="A85" s="207"/>
      <c r="B85" s="280">
        <v>4</v>
      </c>
      <c r="C85" s="270" t="s">
        <v>169</v>
      </c>
      <c r="D85" s="209">
        <v>500</v>
      </c>
      <c r="E85" s="174">
        <v>500</v>
      </c>
      <c r="F85" s="174">
        <v>500</v>
      </c>
      <c r="G85" s="174">
        <v>-4700</v>
      </c>
      <c r="H85" s="174">
        <v>-4700</v>
      </c>
      <c r="I85" s="174">
        <v>-4700</v>
      </c>
      <c r="J85" s="174">
        <f t="shared" si="7"/>
        <v>-4200</v>
      </c>
      <c r="K85" s="174">
        <f t="shared" si="6"/>
        <v>-4200</v>
      </c>
      <c r="L85" s="174">
        <f t="shared" si="6"/>
        <v>-4200</v>
      </c>
      <c r="M85" s="233">
        <v>33.333333333333336</v>
      </c>
      <c r="N85" s="233">
        <v>33.333333333333336</v>
      </c>
      <c r="O85" s="233">
        <v>33.333333333333336</v>
      </c>
      <c r="P85" s="233">
        <f t="shared" si="8"/>
        <v>-4200</v>
      </c>
      <c r="Q85" s="233">
        <f t="shared" si="9"/>
        <v>-6</v>
      </c>
      <c r="R85" s="234">
        <f t="shared" si="10"/>
        <v>-4194</v>
      </c>
    </row>
    <row r="86" spans="1:18" ht="12" hidden="1" customHeight="1">
      <c r="A86" s="211"/>
      <c r="B86" s="280">
        <v>5</v>
      </c>
      <c r="C86" s="270" t="s">
        <v>160</v>
      </c>
      <c r="D86" s="209">
        <v>500</v>
      </c>
      <c r="E86" s="174">
        <v>500</v>
      </c>
      <c r="F86" s="174">
        <v>500</v>
      </c>
      <c r="G86" s="174">
        <v>-4700</v>
      </c>
      <c r="H86" s="174">
        <v>-4700</v>
      </c>
      <c r="I86" s="174">
        <v>-4700</v>
      </c>
      <c r="J86" s="174">
        <f t="shared" si="7"/>
        <v>-4200</v>
      </c>
      <c r="K86" s="174">
        <f t="shared" si="6"/>
        <v>-4200</v>
      </c>
      <c r="L86" s="174">
        <f t="shared" si="6"/>
        <v>-4200</v>
      </c>
      <c r="M86" s="233">
        <v>33.333333333333336</v>
      </c>
      <c r="N86" s="233">
        <v>33.333333333333336</v>
      </c>
      <c r="O86" s="233">
        <v>33.333333333333336</v>
      </c>
      <c r="P86" s="233">
        <f t="shared" si="8"/>
        <v>-4200</v>
      </c>
      <c r="Q86" s="233">
        <f t="shared" si="9"/>
        <v>-6</v>
      </c>
      <c r="R86" s="234">
        <f t="shared" si="10"/>
        <v>-4194</v>
      </c>
    </row>
    <row r="87" spans="1:18" ht="12" hidden="1" customHeight="1">
      <c r="A87" s="211"/>
      <c r="B87" s="280">
        <v>6</v>
      </c>
      <c r="C87" s="270" t="s">
        <v>161</v>
      </c>
      <c r="D87" s="209">
        <v>500</v>
      </c>
      <c r="E87" s="174">
        <v>500</v>
      </c>
      <c r="F87" s="174">
        <v>500</v>
      </c>
      <c r="G87" s="174">
        <v>-4700</v>
      </c>
      <c r="H87" s="174">
        <v>-4700</v>
      </c>
      <c r="I87" s="174">
        <v>-4700</v>
      </c>
      <c r="J87" s="174">
        <f t="shared" si="7"/>
        <v>-4200</v>
      </c>
      <c r="K87" s="174">
        <f t="shared" si="6"/>
        <v>-4200</v>
      </c>
      <c r="L87" s="174">
        <f t="shared" si="6"/>
        <v>-4200</v>
      </c>
      <c r="M87" s="233">
        <v>33.333333333333336</v>
      </c>
      <c r="N87" s="233">
        <v>33.333333333333336</v>
      </c>
      <c r="O87" s="233">
        <v>33.333333333333336</v>
      </c>
      <c r="P87" s="233">
        <f t="shared" si="8"/>
        <v>-4200</v>
      </c>
      <c r="Q87" s="233">
        <f t="shared" si="9"/>
        <v>-6</v>
      </c>
      <c r="R87" s="234">
        <f t="shared" si="10"/>
        <v>-4194</v>
      </c>
    </row>
    <row r="88" spans="1:18" ht="12" hidden="1" customHeight="1">
      <c r="A88" s="207"/>
      <c r="B88" s="280">
        <v>7</v>
      </c>
      <c r="C88" s="270" t="s">
        <v>162</v>
      </c>
      <c r="D88" s="209">
        <v>500</v>
      </c>
      <c r="E88" s="174">
        <v>500</v>
      </c>
      <c r="F88" s="174">
        <v>500</v>
      </c>
      <c r="G88" s="174">
        <v>-4700</v>
      </c>
      <c r="H88" s="174">
        <v>-4700</v>
      </c>
      <c r="I88" s="174">
        <v>-4700</v>
      </c>
      <c r="J88" s="174">
        <f t="shared" si="7"/>
        <v>-4200</v>
      </c>
      <c r="K88" s="174">
        <f t="shared" si="6"/>
        <v>-4200</v>
      </c>
      <c r="L88" s="174">
        <f t="shared" si="6"/>
        <v>-4200</v>
      </c>
      <c r="M88" s="233">
        <v>33.333333333333336</v>
      </c>
      <c r="N88" s="233">
        <v>33.333333333333336</v>
      </c>
      <c r="O88" s="233">
        <v>33.333333333333336</v>
      </c>
      <c r="P88" s="233">
        <f t="shared" si="8"/>
        <v>-4200</v>
      </c>
      <c r="Q88" s="233">
        <f t="shared" si="9"/>
        <v>-6</v>
      </c>
      <c r="R88" s="234">
        <f t="shared" si="10"/>
        <v>-4194</v>
      </c>
    </row>
    <row r="89" spans="1:18" ht="12" hidden="1" customHeight="1">
      <c r="A89" s="211"/>
      <c r="B89" s="280">
        <v>8</v>
      </c>
      <c r="C89" s="270" t="s">
        <v>163</v>
      </c>
      <c r="D89" s="209">
        <v>500</v>
      </c>
      <c r="E89" s="174">
        <v>500</v>
      </c>
      <c r="F89" s="174">
        <v>500</v>
      </c>
      <c r="G89" s="174">
        <v>-4700</v>
      </c>
      <c r="H89" s="174">
        <v>-4700</v>
      </c>
      <c r="I89" s="174">
        <v>-4700</v>
      </c>
      <c r="J89" s="174">
        <f t="shared" si="7"/>
        <v>-4200</v>
      </c>
      <c r="K89" s="174">
        <f t="shared" si="6"/>
        <v>-4200</v>
      </c>
      <c r="L89" s="174">
        <f t="shared" si="6"/>
        <v>-4200</v>
      </c>
      <c r="M89" s="233">
        <v>33.333333333333336</v>
      </c>
      <c r="N89" s="233">
        <v>33.333333333333336</v>
      </c>
      <c r="O89" s="233">
        <v>33.333333333333336</v>
      </c>
      <c r="P89" s="233">
        <f t="shared" si="8"/>
        <v>-4200</v>
      </c>
      <c r="Q89" s="233">
        <f t="shared" si="9"/>
        <v>-6</v>
      </c>
      <c r="R89" s="234">
        <f t="shared" si="10"/>
        <v>-4194</v>
      </c>
    </row>
    <row r="90" spans="1:18" ht="12" hidden="1" customHeight="1">
      <c r="A90" s="211"/>
      <c r="B90" s="280">
        <v>9</v>
      </c>
      <c r="C90" s="270" t="s">
        <v>164</v>
      </c>
      <c r="D90" s="209">
        <v>500</v>
      </c>
      <c r="E90" s="174">
        <v>500</v>
      </c>
      <c r="F90" s="174">
        <v>500</v>
      </c>
      <c r="G90" s="174">
        <v>-4700</v>
      </c>
      <c r="H90" s="174">
        <v>-4700</v>
      </c>
      <c r="I90" s="174">
        <v>-4700</v>
      </c>
      <c r="J90" s="174">
        <f t="shared" si="7"/>
        <v>-4200</v>
      </c>
      <c r="K90" s="174">
        <f t="shared" si="6"/>
        <v>-4200</v>
      </c>
      <c r="L90" s="174">
        <f t="shared" si="6"/>
        <v>-4200</v>
      </c>
      <c r="M90" s="233">
        <v>33.333333333333336</v>
      </c>
      <c r="N90" s="233">
        <v>33.333333333333336</v>
      </c>
      <c r="O90" s="233">
        <v>33.333333333333336</v>
      </c>
      <c r="P90" s="233">
        <f t="shared" si="8"/>
        <v>-4200</v>
      </c>
      <c r="Q90" s="233">
        <f t="shared" si="9"/>
        <v>-6</v>
      </c>
      <c r="R90" s="234">
        <f t="shared" si="10"/>
        <v>-4194</v>
      </c>
    </row>
    <row r="91" spans="1:18" ht="12" hidden="1" customHeight="1">
      <c r="A91" s="207"/>
      <c r="B91" s="280">
        <v>10</v>
      </c>
      <c r="C91" s="270" t="s">
        <v>165</v>
      </c>
      <c r="D91" s="209">
        <v>500</v>
      </c>
      <c r="E91" s="174">
        <v>500</v>
      </c>
      <c r="F91" s="174">
        <v>500</v>
      </c>
      <c r="G91" s="174">
        <v>-2100</v>
      </c>
      <c r="H91" s="174">
        <v>-2100</v>
      </c>
      <c r="I91" s="174">
        <v>-2100</v>
      </c>
      <c r="J91" s="174">
        <f t="shared" si="7"/>
        <v>-1600</v>
      </c>
      <c r="K91" s="174">
        <f t="shared" si="6"/>
        <v>-1600</v>
      </c>
      <c r="L91" s="174">
        <f t="shared" si="6"/>
        <v>-1600</v>
      </c>
      <c r="M91" s="233">
        <v>33.333333333333336</v>
      </c>
      <c r="N91" s="233">
        <v>33.333333333333336</v>
      </c>
      <c r="O91" s="233">
        <v>33.333333333333336</v>
      </c>
      <c r="P91" s="233">
        <f t="shared" si="8"/>
        <v>-1600</v>
      </c>
      <c r="Q91" s="233">
        <f t="shared" si="9"/>
        <v>-6</v>
      </c>
      <c r="R91" s="234">
        <f t="shared" si="10"/>
        <v>-1594</v>
      </c>
    </row>
    <row r="92" spans="1:18" ht="12" hidden="1" customHeight="1">
      <c r="A92" s="211"/>
      <c r="B92" s="280">
        <v>11</v>
      </c>
      <c r="C92" s="270" t="s">
        <v>166</v>
      </c>
      <c r="D92" s="209">
        <v>500</v>
      </c>
      <c r="E92" s="174">
        <v>500</v>
      </c>
      <c r="F92" s="174">
        <v>500</v>
      </c>
      <c r="G92" s="174">
        <v>-2100</v>
      </c>
      <c r="H92" s="174">
        <v>-2100</v>
      </c>
      <c r="I92" s="174">
        <v>-2100</v>
      </c>
      <c r="J92" s="174">
        <f t="shared" si="7"/>
        <v>-1600</v>
      </c>
      <c r="K92" s="174">
        <f t="shared" si="6"/>
        <v>-1600</v>
      </c>
      <c r="L92" s="174">
        <f t="shared" si="6"/>
        <v>-1600</v>
      </c>
      <c r="M92" s="233">
        <v>33.333333333333336</v>
      </c>
      <c r="N92" s="233">
        <v>33.333333333333336</v>
      </c>
      <c r="O92" s="233">
        <v>33.333333333333336</v>
      </c>
      <c r="P92" s="233">
        <f t="shared" si="8"/>
        <v>-1600</v>
      </c>
      <c r="Q92" s="233">
        <f t="shared" si="9"/>
        <v>-6</v>
      </c>
      <c r="R92" s="234">
        <f t="shared" si="10"/>
        <v>-1594</v>
      </c>
    </row>
    <row r="93" spans="1:18" ht="12" hidden="1" customHeight="1">
      <c r="A93" s="211"/>
      <c r="B93" s="280">
        <v>12</v>
      </c>
      <c r="C93" s="270" t="s">
        <v>167</v>
      </c>
      <c r="D93" s="209">
        <v>500</v>
      </c>
      <c r="E93" s="174">
        <v>500</v>
      </c>
      <c r="F93" s="174">
        <v>500</v>
      </c>
      <c r="G93" s="174">
        <v>-2100</v>
      </c>
      <c r="H93" s="174">
        <v>-2100</v>
      </c>
      <c r="I93" s="174">
        <v>-2100</v>
      </c>
      <c r="J93" s="181">
        <f t="shared" si="7"/>
        <v>-1600</v>
      </c>
      <c r="K93" s="181">
        <f t="shared" si="6"/>
        <v>-1600</v>
      </c>
      <c r="L93" s="181">
        <f t="shared" si="6"/>
        <v>-1600</v>
      </c>
      <c r="M93" s="235">
        <v>33.333333333333336</v>
      </c>
      <c r="N93" s="235">
        <v>33.333333333333336</v>
      </c>
      <c r="O93" s="235">
        <v>33.333333333333336</v>
      </c>
      <c r="P93" s="235">
        <f t="shared" si="8"/>
        <v>-1600</v>
      </c>
      <c r="Q93" s="235">
        <f t="shared" si="9"/>
        <v>-6</v>
      </c>
      <c r="R93" s="236">
        <f t="shared" si="10"/>
        <v>-1594</v>
      </c>
    </row>
    <row r="94" spans="1:18" ht="12" hidden="1" customHeight="1">
      <c r="A94" s="207"/>
      <c r="B94" s="275">
        <v>40909</v>
      </c>
      <c r="C94" s="272" t="s">
        <v>328</v>
      </c>
      <c r="D94" s="237">
        <v>500</v>
      </c>
      <c r="E94" s="177">
        <v>500</v>
      </c>
      <c r="F94" s="177">
        <v>500</v>
      </c>
      <c r="G94" s="177">
        <v>0</v>
      </c>
      <c r="H94" s="177">
        <v>0</v>
      </c>
      <c r="I94" s="177">
        <v>0</v>
      </c>
      <c r="J94" s="174">
        <f t="shared" si="7"/>
        <v>500</v>
      </c>
      <c r="K94" s="174">
        <f t="shared" si="6"/>
        <v>500</v>
      </c>
      <c r="L94" s="174">
        <f t="shared" si="6"/>
        <v>500</v>
      </c>
      <c r="M94" s="233">
        <v>33.333333333333336</v>
      </c>
      <c r="N94" s="233">
        <v>33.333333333333336</v>
      </c>
      <c r="O94" s="233">
        <v>33.333333333333336</v>
      </c>
      <c r="P94" s="233">
        <f t="shared" si="8"/>
        <v>500</v>
      </c>
      <c r="Q94" s="233">
        <f t="shared" si="9"/>
        <v>-6</v>
      </c>
      <c r="R94" s="234">
        <f t="shared" si="10"/>
        <v>506</v>
      </c>
    </row>
    <row r="95" spans="1:18" s="210" customFormat="1" ht="12" hidden="1" customHeight="1">
      <c r="B95" s="280">
        <v>2</v>
      </c>
      <c r="C95" s="270" t="s">
        <v>327</v>
      </c>
      <c r="D95" s="209">
        <v>500</v>
      </c>
      <c r="E95" s="174">
        <v>500</v>
      </c>
      <c r="F95" s="174">
        <v>500</v>
      </c>
      <c r="G95" s="174">
        <v>0</v>
      </c>
      <c r="H95" s="174">
        <v>0</v>
      </c>
      <c r="I95" s="174">
        <v>0</v>
      </c>
      <c r="J95" s="174">
        <f t="shared" si="7"/>
        <v>500</v>
      </c>
      <c r="K95" s="174">
        <f t="shared" si="6"/>
        <v>500</v>
      </c>
      <c r="L95" s="174">
        <f t="shared" si="6"/>
        <v>500</v>
      </c>
      <c r="M95" s="233">
        <v>33.333333333333336</v>
      </c>
      <c r="N95" s="233">
        <v>33.333333333333336</v>
      </c>
      <c r="O95" s="233">
        <v>33.333333333333336</v>
      </c>
      <c r="P95" s="233">
        <f t="shared" si="8"/>
        <v>500</v>
      </c>
      <c r="Q95" s="233">
        <f t="shared" si="9"/>
        <v>-6</v>
      </c>
      <c r="R95" s="234">
        <f t="shared" si="10"/>
        <v>506</v>
      </c>
    </row>
    <row r="96" spans="1:18" ht="12" hidden="1" customHeight="1">
      <c r="B96" s="280">
        <v>3</v>
      </c>
      <c r="C96" s="270" t="s">
        <v>168</v>
      </c>
      <c r="D96" s="209">
        <v>500</v>
      </c>
      <c r="E96" s="174">
        <v>500</v>
      </c>
      <c r="F96" s="174">
        <v>500</v>
      </c>
      <c r="G96" s="174">
        <v>0</v>
      </c>
      <c r="H96" s="174">
        <v>0</v>
      </c>
      <c r="I96" s="174">
        <v>0</v>
      </c>
      <c r="J96" s="174">
        <f t="shared" si="7"/>
        <v>500</v>
      </c>
      <c r="K96" s="174">
        <f t="shared" si="6"/>
        <v>500</v>
      </c>
      <c r="L96" s="174">
        <f t="shared" si="6"/>
        <v>500</v>
      </c>
      <c r="M96" s="233">
        <v>33.333333333333336</v>
      </c>
      <c r="N96" s="233">
        <v>33.333333333333336</v>
      </c>
      <c r="O96" s="233">
        <v>33.333333333333336</v>
      </c>
      <c r="P96" s="233">
        <f t="shared" si="8"/>
        <v>500</v>
      </c>
      <c r="Q96" s="233">
        <f t="shared" si="9"/>
        <v>-6</v>
      </c>
      <c r="R96" s="234">
        <f t="shared" si="10"/>
        <v>506</v>
      </c>
    </row>
    <row r="97" spans="1:18" ht="12" hidden="1" customHeight="1">
      <c r="B97" s="280">
        <v>4</v>
      </c>
      <c r="C97" s="270" t="s">
        <v>169</v>
      </c>
      <c r="D97" s="209">
        <v>500</v>
      </c>
      <c r="E97" s="174">
        <v>500</v>
      </c>
      <c r="F97" s="174">
        <v>500</v>
      </c>
      <c r="G97" s="174">
        <v>0</v>
      </c>
      <c r="H97" s="174">
        <v>0</v>
      </c>
      <c r="I97" s="174">
        <v>0</v>
      </c>
      <c r="J97" s="174">
        <f t="shared" si="7"/>
        <v>500</v>
      </c>
      <c r="K97" s="174">
        <f t="shared" si="6"/>
        <v>500</v>
      </c>
      <c r="L97" s="174">
        <f t="shared" si="6"/>
        <v>500</v>
      </c>
      <c r="M97" s="233">
        <v>33.333333333333336</v>
      </c>
      <c r="N97" s="233">
        <v>33.333333333333336</v>
      </c>
      <c r="O97" s="233">
        <v>33.333333333333336</v>
      </c>
      <c r="P97" s="233">
        <f t="shared" si="8"/>
        <v>500</v>
      </c>
      <c r="Q97" s="233">
        <f t="shared" si="9"/>
        <v>-6</v>
      </c>
      <c r="R97" s="234">
        <f t="shared" si="10"/>
        <v>506</v>
      </c>
    </row>
    <row r="98" spans="1:18" ht="12" hidden="1" customHeight="1">
      <c r="B98" s="280">
        <v>5</v>
      </c>
      <c r="C98" s="270" t="s">
        <v>160</v>
      </c>
      <c r="D98" s="209">
        <v>500</v>
      </c>
      <c r="E98" s="174">
        <v>500</v>
      </c>
      <c r="F98" s="174">
        <v>500</v>
      </c>
      <c r="G98" s="174">
        <v>0</v>
      </c>
      <c r="H98" s="174">
        <v>0</v>
      </c>
      <c r="I98" s="174">
        <v>0</v>
      </c>
      <c r="J98" s="174">
        <f t="shared" si="7"/>
        <v>500</v>
      </c>
      <c r="K98" s="174">
        <f t="shared" si="6"/>
        <v>500</v>
      </c>
      <c r="L98" s="174">
        <f t="shared" si="6"/>
        <v>500</v>
      </c>
      <c r="M98" s="233">
        <v>33.333333333333336</v>
      </c>
      <c r="N98" s="233">
        <v>33.333333333333336</v>
      </c>
      <c r="O98" s="233">
        <v>33.333333333333336</v>
      </c>
      <c r="P98" s="233">
        <f t="shared" si="8"/>
        <v>500</v>
      </c>
      <c r="Q98" s="233">
        <f t="shared" si="9"/>
        <v>-6</v>
      </c>
      <c r="R98" s="234">
        <f t="shared" si="10"/>
        <v>506</v>
      </c>
    </row>
    <row r="99" spans="1:18" ht="12" hidden="1" customHeight="1">
      <c r="B99" s="280">
        <v>6</v>
      </c>
      <c r="C99" s="270" t="s">
        <v>161</v>
      </c>
      <c r="D99" s="209">
        <v>500</v>
      </c>
      <c r="E99" s="174">
        <v>500</v>
      </c>
      <c r="F99" s="174">
        <v>500</v>
      </c>
      <c r="G99" s="174">
        <v>0</v>
      </c>
      <c r="H99" s="174">
        <v>0</v>
      </c>
      <c r="I99" s="174">
        <v>0</v>
      </c>
      <c r="J99" s="174">
        <f t="shared" si="7"/>
        <v>500</v>
      </c>
      <c r="K99" s="174">
        <f t="shared" si="6"/>
        <v>500</v>
      </c>
      <c r="L99" s="174">
        <f t="shared" si="6"/>
        <v>500</v>
      </c>
      <c r="M99" s="233">
        <v>33.333333333333336</v>
      </c>
      <c r="N99" s="233">
        <v>33.333333333333336</v>
      </c>
      <c r="O99" s="233">
        <v>33.333333333333336</v>
      </c>
      <c r="P99" s="233">
        <f t="shared" si="8"/>
        <v>500</v>
      </c>
      <c r="Q99" s="233">
        <f t="shared" si="9"/>
        <v>-6</v>
      </c>
      <c r="R99" s="234">
        <f t="shared" si="10"/>
        <v>506</v>
      </c>
    </row>
    <row r="100" spans="1:18" ht="12" hidden="1" customHeight="1">
      <c r="B100" s="280">
        <v>7</v>
      </c>
      <c r="C100" s="270" t="s">
        <v>162</v>
      </c>
      <c r="D100" s="209">
        <v>500</v>
      </c>
      <c r="E100" s="174">
        <v>500</v>
      </c>
      <c r="F100" s="174">
        <v>500</v>
      </c>
      <c r="G100" s="174">
        <v>-450</v>
      </c>
      <c r="H100" s="174">
        <v>-450</v>
      </c>
      <c r="I100" s="174">
        <v>-450</v>
      </c>
      <c r="J100" s="174">
        <f t="shared" si="7"/>
        <v>50</v>
      </c>
      <c r="K100" s="174">
        <f t="shared" si="6"/>
        <v>50</v>
      </c>
      <c r="L100" s="174">
        <f t="shared" si="6"/>
        <v>50</v>
      </c>
      <c r="M100" s="233">
        <v>33.333333333333336</v>
      </c>
      <c r="N100" s="233">
        <v>33.333333333333336</v>
      </c>
      <c r="O100" s="233">
        <v>33.333333333333336</v>
      </c>
      <c r="P100" s="233">
        <f t="shared" si="8"/>
        <v>50</v>
      </c>
      <c r="Q100" s="233">
        <f t="shared" si="9"/>
        <v>-6</v>
      </c>
      <c r="R100" s="234">
        <f t="shared" si="10"/>
        <v>56</v>
      </c>
    </row>
    <row r="101" spans="1:18" ht="12" hidden="1" customHeight="1">
      <c r="B101" s="280">
        <v>8</v>
      </c>
      <c r="C101" s="270" t="s">
        <v>163</v>
      </c>
      <c r="D101" s="209">
        <v>500</v>
      </c>
      <c r="E101" s="174">
        <v>500</v>
      </c>
      <c r="F101" s="174">
        <v>500</v>
      </c>
      <c r="G101" s="174">
        <v>-450</v>
      </c>
      <c r="H101" s="174">
        <v>-450</v>
      </c>
      <c r="I101" s="174">
        <v>-450</v>
      </c>
      <c r="J101" s="174">
        <f t="shared" si="7"/>
        <v>50</v>
      </c>
      <c r="K101" s="174">
        <f t="shared" si="6"/>
        <v>50</v>
      </c>
      <c r="L101" s="174">
        <f t="shared" si="6"/>
        <v>50</v>
      </c>
      <c r="M101" s="233">
        <v>33.333333333333336</v>
      </c>
      <c r="N101" s="233">
        <v>33.333333333333336</v>
      </c>
      <c r="O101" s="233">
        <v>33.333333333333336</v>
      </c>
      <c r="P101" s="233">
        <f t="shared" si="8"/>
        <v>50</v>
      </c>
      <c r="Q101" s="233">
        <f t="shared" si="9"/>
        <v>-6</v>
      </c>
      <c r="R101" s="234">
        <f t="shared" si="10"/>
        <v>56</v>
      </c>
    </row>
    <row r="102" spans="1:18" ht="12" hidden="1" customHeight="1">
      <c r="B102" s="280">
        <v>9</v>
      </c>
      <c r="C102" s="270" t="s">
        <v>164</v>
      </c>
      <c r="D102" s="209">
        <v>500</v>
      </c>
      <c r="E102" s="174">
        <v>500</v>
      </c>
      <c r="F102" s="174">
        <v>500</v>
      </c>
      <c r="G102" s="174">
        <v>-450</v>
      </c>
      <c r="H102" s="174">
        <v>-450</v>
      </c>
      <c r="I102" s="174">
        <v>-450</v>
      </c>
      <c r="J102" s="174">
        <f t="shared" si="7"/>
        <v>50</v>
      </c>
      <c r="K102" s="174">
        <f t="shared" si="6"/>
        <v>50</v>
      </c>
      <c r="L102" s="174">
        <f t="shared" si="6"/>
        <v>50</v>
      </c>
      <c r="M102" s="233">
        <v>33.333333333333336</v>
      </c>
      <c r="N102" s="233">
        <v>33.333333333333336</v>
      </c>
      <c r="O102" s="233">
        <v>33.333333333333336</v>
      </c>
      <c r="P102" s="233">
        <f t="shared" si="8"/>
        <v>50</v>
      </c>
      <c r="Q102" s="233">
        <f t="shared" si="9"/>
        <v>-6</v>
      </c>
      <c r="R102" s="234">
        <f t="shared" si="10"/>
        <v>56</v>
      </c>
    </row>
    <row r="103" spans="1:18" ht="12" hidden="1" customHeight="1">
      <c r="B103" s="280">
        <v>10</v>
      </c>
      <c r="C103" s="270" t="s">
        <v>165</v>
      </c>
      <c r="D103" s="209">
        <v>500</v>
      </c>
      <c r="E103" s="174">
        <v>500</v>
      </c>
      <c r="F103" s="174">
        <v>500</v>
      </c>
      <c r="G103" s="174">
        <v>-5450</v>
      </c>
      <c r="H103" s="174">
        <v>-5450</v>
      </c>
      <c r="I103" s="174">
        <v>-5450</v>
      </c>
      <c r="J103" s="174">
        <f t="shared" si="7"/>
        <v>-4950</v>
      </c>
      <c r="K103" s="174">
        <f t="shared" si="6"/>
        <v>-4950</v>
      </c>
      <c r="L103" s="174">
        <f t="shared" si="6"/>
        <v>-4950</v>
      </c>
      <c r="M103" s="233">
        <v>33.333333333333336</v>
      </c>
      <c r="N103" s="233">
        <v>33.333333333333336</v>
      </c>
      <c r="O103" s="233">
        <v>33.333333333333336</v>
      </c>
      <c r="P103" s="233">
        <f t="shared" si="8"/>
        <v>-4950</v>
      </c>
      <c r="Q103" s="233">
        <f t="shared" si="9"/>
        <v>-6</v>
      </c>
      <c r="R103" s="234">
        <f t="shared" si="10"/>
        <v>-4944</v>
      </c>
    </row>
    <row r="104" spans="1:18" ht="12" hidden="1" customHeight="1">
      <c r="B104" s="280">
        <v>11</v>
      </c>
      <c r="C104" s="270" t="s">
        <v>166</v>
      </c>
      <c r="D104" s="209">
        <v>500</v>
      </c>
      <c r="E104" s="174">
        <v>500</v>
      </c>
      <c r="F104" s="174">
        <v>500</v>
      </c>
      <c r="G104" s="174">
        <v>-5450</v>
      </c>
      <c r="H104" s="174">
        <v>-5450</v>
      </c>
      <c r="I104" s="174">
        <v>-5450</v>
      </c>
      <c r="J104" s="174">
        <f t="shared" si="7"/>
        <v>-4950</v>
      </c>
      <c r="K104" s="174">
        <f t="shared" si="6"/>
        <v>-4950</v>
      </c>
      <c r="L104" s="174">
        <f t="shared" si="6"/>
        <v>-4950</v>
      </c>
      <c r="M104" s="233">
        <v>33.333333333333336</v>
      </c>
      <c r="N104" s="233">
        <v>33.333333333333336</v>
      </c>
      <c r="O104" s="233">
        <v>33.333333333333336</v>
      </c>
      <c r="P104" s="233">
        <f t="shared" si="8"/>
        <v>-4950</v>
      </c>
      <c r="Q104" s="233">
        <f t="shared" si="9"/>
        <v>-6</v>
      </c>
      <c r="R104" s="234">
        <f t="shared" si="10"/>
        <v>-4944</v>
      </c>
    </row>
    <row r="105" spans="1:18" ht="12" hidden="1" customHeight="1">
      <c r="B105" s="276">
        <v>12</v>
      </c>
      <c r="C105" s="271" t="s">
        <v>167</v>
      </c>
      <c r="D105" s="238">
        <v>500</v>
      </c>
      <c r="E105" s="181">
        <v>500</v>
      </c>
      <c r="F105" s="181">
        <v>500</v>
      </c>
      <c r="G105" s="181">
        <v>-5450</v>
      </c>
      <c r="H105" s="181">
        <v>-5450</v>
      </c>
      <c r="I105" s="181">
        <v>-5450</v>
      </c>
      <c r="J105" s="174">
        <f t="shared" si="7"/>
        <v>-4950</v>
      </c>
      <c r="K105" s="174">
        <f t="shared" si="6"/>
        <v>-4950</v>
      </c>
      <c r="L105" s="174">
        <f t="shared" si="6"/>
        <v>-4950</v>
      </c>
      <c r="M105" s="233">
        <v>33.333333333333336</v>
      </c>
      <c r="N105" s="233">
        <v>33.333333333333336</v>
      </c>
      <c r="O105" s="233">
        <v>33.333333333333336</v>
      </c>
      <c r="P105" s="233">
        <f t="shared" si="8"/>
        <v>-4950</v>
      </c>
      <c r="Q105" s="233">
        <f t="shared" si="9"/>
        <v>-6</v>
      </c>
      <c r="R105" s="234">
        <f t="shared" si="10"/>
        <v>-4944</v>
      </c>
    </row>
    <row r="106" spans="1:18" ht="12" hidden="1" customHeight="1">
      <c r="A106" s="207"/>
      <c r="B106" s="281">
        <v>41275</v>
      </c>
      <c r="C106" s="270" t="s">
        <v>329</v>
      </c>
      <c r="D106" s="209">
        <v>500</v>
      </c>
      <c r="E106" s="174">
        <v>500</v>
      </c>
      <c r="F106" s="174">
        <v>500</v>
      </c>
      <c r="G106" s="174">
        <v>-4300</v>
      </c>
      <c r="H106" s="174">
        <v>-4300</v>
      </c>
      <c r="I106" s="174">
        <v>-4300</v>
      </c>
      <c r="J106" s="177">
        <f t="shared" si="7"/>
        <v>-3800</v>
      </c>
      <c r="K106" s="177">
        <f t="shared" si="6"/>
        <v>-3800</v>
      </c>
      <c r="L106" s="177">
        <f t="shared" si="6"/>
        <v>-3800</v>
      </c>
      <c r="M106" s="239">
        <v>33.333333333333336</v>
      </c>
      <c r="N106" s="239">
        <v>33.333333333333336</v>
      </c>
      <c r="O106" s="239">
        <v>33.333333333333336</v>
      </c>
      <c r="P106" s="239">
        <f t="shared" si="8"/>
        <v>-3800</v>
      </c>
      <c r="Q106" s="239">
        <f t="shared" si="9"/>
        <v>-6</v>
      </c>
      <c r="R106" s="240">
        <f t="shared" si="10"/>
        <v>-3794</v>
      </c>
    </row>
    <row r="107" spans="1:18" s="210" customFormat="1" ht="12" hidden="1" customHeight="1">
      <c r="B107" s="280">
        <v>2</v>
      </c>
      <c r="C107" s="270" t="s">
        <v>327</v>
      </c>
      <c r="D107" s="209">
        <v>500</v>
      </c>
      <c r="E107" s="174">
        <v>500</v>
      </c>
      <c r="F107" s="174">
        <v>500</v>
      </c>
      <c r="G107" s="174">
        <v>-4300</v>
      </c>
      <c r="H107" s="174">
        <v>-4300</v>
      </c>
      <c r="I107" s="174">
        <v>-4300</v>
      </c>
      <c r="J107" s="174">
        <f t="shared" si="7"/>
        <v>-3800</v>
      </c>
      <c r="K107" s="174">
        <f t="shared" si="6"/>
        <v>-3800</v>
      </c>
      <c r="L107" s="174">
        <f t="shared" si="6"/>
        <v>-3800</v>
      </c>
      <c r="M107" s="233">
        <v>33.333333333333336</v>
      </c>
      <c r="N107" s="233">
        <v>33.333333333333336</v>
      </c>
      <c r="O107" s="233">
        <v>33.333333333333336</v>
      </c>
      <c r="P107" s="233">
        <f t="shared" si="8"/>
        <v>-3800</v>
      </c>
      <c r="Q107" s="233">
        <f t="shared" si="9"/>
        <v>-6</v>
      </c>
      <c r="R107" s="234">
        <f t="shared" si="10"/>
        <v>-3794</v>
      </c>
    </row>
    <row r="108" spans="1:18" ht="12" hidden="1" customHeight="1">
      <c r="B108" s="280">
        <v>3</v>
      </c>
      <c r="C108" s="270" t="s">
        <v>168</v>
      </c>
      <c r="D108" s="209">
        <v>500</v>
      </c>
      <c r="E108" s="174">
        <v>500</v>
      </c>
      <c r="F108" s="174">
        <v>500</v>
      </c>
      <c r="G108" s="174">
        <v>-4300</v>
      </c>
      <c r="H108" s="174">
        <v>-4300</v>
      </c>
      <c r="I108" s="174">
        <v>-4300</v>
      </c>
      <c r="J108" s="174">
        <f t="shared" si="7"/>
        <v>-3800</v>
      </c>
      <c r="K108" s="174">
        <f t="shared" si="6"/>
        <v>-3800</v>
      </c>
      <c r="L108" s="174">
        <f t="shared" si="6"/>
        <v>-3800</v>
      </c>
      <c r="M108" s="233">
        <v>33.333333333333336</v>
      </c>
      <c r="N108" s="233">
        <v>33.333333333333336</v>
      </c>
      <c r="O108" s="233">
        <v>33.333333333333336</v>
      </c>
      <c r="P108" s="233">
        <f t="shared" si="8"/>
        <v>-3800</v>
      </c>
      <c r="Q108" s="233">
        <f t="shared" si="9"/>
        <v>-6</v>
      </c>
      <c r="R108" s="234">
        <f t="shared" si="10"/>
        <v>-3794</v>
      </c>
    </row>
    <row r="109" spans="1:18" ht="12" hidden="1" customHeight="1">
      <c r="B109" s="280">
        <v>4</v>
      </c>
      <c r="C109" s="270" t="s">
        <v>169</v>
      </c>
      <c r="D109" s="209">
        <v>600</v>
      </c>
      <c r="E109" s="174">
        <v>600</v>
      </c>
      <c r="F109" s="174">
        <v>650</v>
      </c>
      <c r="G109" s="174">
        <v>-5800</v>
      </c>
      <c r="H109" s="174">
        <v>-5800</v>
      </c>
      <c r="I109" s="174">
        <v>-5800</v>
      </c>
      <c r="J109" s="174">
        <f t="shared" si="7"/>
        <v>-5200</v>
      </c>
      <c r="K109" s="174">
        <f t="shared" si="6"/>
        <v>-5200</v>
      </c>
      <c r="L109" s="174">
        <f t="shared" si="6"/>
        <v>-5150</v>
      </c>
      <c r="M109" s="233">
        <v>33.333333333333336</v>
      </c>
      <c r="N109" s="233">
        <v>33.333333333333336</v>
      </c>
      <c r="O109" s="233">
        <v>33.333333333333336</v>
      </c>
      <c r="P109" s="233">
        <f t="shared" si="8"/>
        <v>-5183.3333333333339</v>
      </c>
      <c r="Q109" s="233">
        <f t="shared" si="9"/>
        <v>-6</v>
      </c>
      <c r="R109" s="234">
        <f t="shared" si="10"/>
        <v>-5177.3333333333339</v>
      </c>
    </row>
    <row r="110" spans="1:18" ht="12" hidden="1" customHeight="1">
      <c r="B110" s="280">
        <v>5</v>
      </c>
      <c r="C110" s="270" t="s">
        <v>160</v>
      </c>
      <c r="D110" s="209">
        <v>600</v>
      </c>
      <c r="E110" s="174">
        <v>600</v>
      </c>
      <c r="F110" s="174">
        <v>650</v>
      </c>
      <c r="G110" s="174">
        <v>-5800</v>
      </c>
      <c r="H110" s="174">
        <v>-5800</v>
      </c>
      <c r="I110" s="174">
        <v>-5800</v>
      </c>
      <c r="J110" s="174">
        <f t="shared" si="7"/>
        <v>-5200</v>
      </c>
      <c r="K110" s="174">
        <f t="shared" si="6"/>
        <v>-5200</v>
      </c>
      <c r="L110" s="174">
        <f t="shared" si="6"/>
        <v>-5150</v>
      </c>
      <c r="M110" s="233">
        <v>33.333333333333336</v>
      </c>
      <c r="N110" s="233">
        <v>33.333333333333336</v>
      </c>
      <c r="O110" s="233">
        <v>33.333333333333336</v>
      </c>
      <c r="P110" s="233">
        <f t="shared" si="8"/>
        <v>-5183.3333333333339</v>
      </c>
      <c r="Q110" s="233">
        <f t="shared" si="9"/>
        <v>-6</v>
      </c>
      <c r="R110" s="234">
        <f t="shared" si="10"/>
        <v>-5177.3333333333339</v>
      </c>
    </row>
    <row r="111" spans="1:18" ht="12" hidden="1" customHeight="1">
      <c r="B111" s="280">
        <v>6</v>
      </c>
      <c r="C111" s="270" t="s">
        <v>161</v>
      </c>
      <c r="D111" s="209">
        <v>600</v>
      </c>
      <c r="E111" s="174">
        <v>600</v>
      </c>
      <c r="F111" s="174">
        <v>650</v>
      </c>
      <c r="G111" s="174">
        <v>-5800</v>
      </c>
      <c r="H111" s="174">
        <v>-5800</v>
      </c>
      <c r="I111" s="174">
        <v>-5800</v>
      </c>
      <c r="J111" s="174">
        <f t="shared" si="7"/>
        <v>-5200</v>
      </c>
      <c r="K111" s="174">
        <f t="shared" si="6"/>
        <v>-5200</v>
      </c>
      <c r="L111" s="174">
        <f t="shared" si="6"/>
        <v>-5150</v>
      </c>
      <c r="M111" s="233">
        <v>33.333333333333336</v>
      </c>
      <c r="N111" s="233">
        <v>33.333333333333336</v>
      </c>
      <c r="O111" s="233">
        <v>33.333333333333336</v>
      </c>
      <c r="P111" s="233">
        <f t="shared" si="8"/>
        <v>-5183.3333333333339</v>
      </c>
      <c r="Q111" s="233">
        <f t="shared" si="9"/>
        <v>-6</v>
      </c>
      <c r="R111" s="234">
        <f t="shared" si="10"/>
        <v>-5177.3333333333339</v>
      </c>
    </row>
    <row r="112" spans="1:18" ht="12" hidden="1" customHeight="1">
      <c r="B112" s="280">
        <v>7</v>
      </c>
      <c r="C112" s="270" t="s">
        <v>162</v>
      </c>
      <c r="D112" s="209">
        <v>600</v>
      </c>
      <c r="E112" s="174">
        <v>600</v>
      </c>
      <c r="F112" s="174">
        <v>650</v>
      </c>
      <c r="G112" s="174">
        <v>-5050</v>
      </c>
      <c r="H112" s="174">
        <v>-5050</v>
      </c>
      <c r="I112" s="174">
        <v>-5050</v>
      </c>
      <c r="J112" s="174">
        <f t="shared" si="7"/>
        <v>-4450</v>
      </c>
      <c r="K112" s="174">
        <f t="shared" si="6"/>
        <v>-4450</v>
      </c>
      <c r="L112" s="174">
        <f t="shared" si="6"/>
        <v>-4400</v>
      </c>
      <c r="M112" s="233">
        <v>33.333333333333336</v>
      </c>
      <c r="N112" s="233">
        <v>33.333333333333336</v>
      </c>
      <c r="O112" s="233">
        <v>33.333333333333336</v>
      </c>
      <c r="P112" s="233">
        <f t="shared" si="8"/>
        <v>-4433.3333333333339</v>
      </c>
      <c r="Q112" s="233">
        <f t="shared" si="9"/>
        <v>-6</v>
      </c>
      <c r="R112" s="234">
        <f t="shared" si="10"/>
        <v>-4427.3333333333339</v>
      </c>
    </row>
    <row r="113" spans="1:18" ht="12" hidden="1" customHeight="1">
      <c r="B113" s="280">
        <v>8</v>
      </c>
      <c r="C113" s="270" t="s">
        <v>163</v>
      </c>
      <c r="D113" s="209">
        <v>600</v>
      </c>
      <c r="E113" s="174">
        <v>600</v>
      </c>
      <c r="F113" s="174">
        <v>650</v>
      </c>
      <c r="G113" s="174">
        <v>-5050</v>
      </c>
      <c r="H113" s="174">
        <v>-5050</v>
      </c>
      <c r="I113" s="174">
        <v>-5050</v>
      </c>
      <c r="J113" s="174">
        <f t="shared" si="7"/>
        <v>-4450</v>
      </c>
      <c r="K113" s="174">
        <f t="shared" si="6"/>
        <v>-4450</v>
      </c>
      <c r="L113" s="174">
        <f t="shared" si="6"/>
        <v>-4400</v>
      </c>
      <c r="M113" s="233">
        <v>33.333333333333336</v>
      </c>
      <c r="N113" s="233">
        <v>33.333333333333336</v>
      </c>
      <c r="O113" s="233">
        <v>33.333333333333336</v>
      </c>
      <c r="P113" s="233">
        <f t="shared" si="8"/>
        <v>-4433.3333333333339</v>
      </c>
      <c r="Q113" s="233">
        <f t="shared" si="9"/>
        <v>-6</v>
      </c>
      <c r="R113" s="234">
        <f t="shared" si="10"/>
        <v>-4427.3333333333339</v>
      </c>
    </row>
    <row r="114" spans="1:18" ht="12" hidden="1" customHeight="1">
      <c r="B114" s="280">
        <v>9</v>
      </c>
      <c r="C114" s="270" t="s">
        <v>164</v>
      </c>
      <c r="D114" s="209">
        <v>600</v>
      </c>
      <c r="E114" s="174">
        <v>600</v>
      </c>
      <c r="F114" s="174">
        <v>650</v>
      </c>
      <c r="G114" s="174">
        <v>-5050</v>
      </c>
      <c r="H114" s="174">
        <v>-5050</v>
      </c>
      <c r="I114" s="174">
        <v>-5050</v>
      </c>
      <c r="J114" s="174">
        <f t="shared" si="7"/>
        <v>-4450</v>
      </c>
      <c r="K114" s="174">
        <f t="shared" si="6"/>
        <v>-4450</v>
      </c>
      <c r="L114" s="174">
        <f t="shared" si="6"/>
        <v>-4400</v>
      </c>
      <c r="M114" s="233">
        <v>33.333333333333336</v>
      </c>
      <c r="N114" s="233">
        <v>33.333333333333336</v>
      </c>
      <c r="O114" s="233">
        <v>33.333333333333336</v>
      </c>
      <c r="P114" s="233">
        <f t="shared" si="8"/>
        <v>-4433.3333333333339</v>
      </c>
      <c r="Q114" s="233">
        <f t="shared" si="9"/>
        <v>-6</v>
      </c>
      <c r="R114" s="234">
        <f t="shared" si="10"/>
        <v>-4427.3333333333339</v>
      </c>
    </row>
    <row r="115" spans="1:18" ht="12" hidden="1" customHeight="1">
      <c r="B115" s="280">
        <v>10</v>
      </c>
      <c r="C115" s="270" t="s">
        <v>165</v>
      </c>
      <c r="D115" s="209">
        <v>600</v>
      </c>
      <c r="E115" s="174">
        <v>600</v>
      </c>
      <c r="F115" s="174">
        <v>650</v>
      </c>
      <c r="G115" s="174">
        <v>-700</v>
      </c>
      <c r="H115" s="174">
        <v>-700</v>
      </c>
      <c r="I115" s="174">
        <v>-700</v>
      </c>
      <c r="J115" s="174">
        <f t="shared" si="7"/>
        <v>-100</v>
      </c>
      <c r="K115" s="174">
        <f t="shared" si="6"/>
        <v>-100</v>
      </c>
      <c r="L115" s="174">
        <f t="shared" si="6"/>
        <v>-50</v>
      </c>
      <c r="M115" s="233">
        <v>33.333333333333336</v>
      </c>
      <c r="N115" s="233">
        <v>33.333333333333336</v>
      </c>
      <c r="O115" s="233">
        <v>33.333333333333336</v>
      </c>
      <c r="P115" s="233">
        <f t="shared" si="8"/>
        <v>-83.333333333333343</v>
      </c>
      <c r="Q115" s="233">
        <f t="shared" si="9"/>
        <v>-6</v>
      </c>
      <c r="R115" s="234">
        <f t="shared" si="10"/>
        <v>-77.333333333333343</v>
      </c>
    </row>
    <row r="116" spans="1:18" ht="12" hidden="1" customHeight="1">
      <c r="B116" s="280">
        <v>11</v>
      </c>
      <c r="C116" s="270" t="s">
        <v>166</v>
      </c>
      <c r="D116" s="209">
        <v>600</v>
      </c>
      <c r="E116" s="174">
        <v>600</v>
      </c>
      <c r="F116" s="174">
        <v>650</v>
      </c>
      <c r="G116" s="174">
        <v>-700</v>
      </c>
      <c r="H116" s="174">
        <v>-700</v>
      </c>
      <c r="I116" s="174">
        <v>-700</v>
      </c>
      <c r="J116" s="174">
        <f t="shared" si="7"/>
        <v>-100</v>
      </c>
      <c r="K116" s="174">
        <f t="shared" si="6"/>
        <v>-100</v>
      </c>
      <c r="L116" s="174">
        <f t="shared" si="6"/>
        <v>-50</v>
      </c>
      <c r="M116" s="233">
        <v>33.333333333333336</v>
      </c>
      <c r="N116" s="233">
        <v>33.333333333333336</v>
      </c>
      <c r="O116" s="233">
        <v>33.333333333333336</v>
      </c>
      <c r="P116" s="233">
        <f t="shared" si="8"/>
        <v>-83.333333333333343</v>
      </c>
      <c r="Q116" s="233">
        <f t="shared" si="9"/>
        <v>-6</v>
      </c>
      <c r="R116" s="234">
        <f t="shared" si="10"/>
        <v>-77.333333333333343</v>
      </c>
    </row>
    <row r="117" spans="1:18" ht="12" hidden="1" customHeight="1">
      <c r="B117" s="276">
        <v>12</v>
      </c>
      <c r="C117" s="271" t="s">
        <v>167</v>
      </c>
      <c r="D117" s="238">
        <v>600</v>
      </c>
      <c r="E117" s="181">
        <v>600</v>
      </c>
      <c r="F117" s="181">
        <v>650</v>
      </c>
      <c r="G117" s="181">
        <v>-700</v>
      </c>
      <c r="H117" s="181">
        <v>-700</v>
      </c>
      <c r="I117" s="181">
        <v>-700</v>
      </c>
      <c r="J117" s="181">
        <f t="shared" si="7"/>
        <v>-100</v>
      </c>
      <c r="K117" s="181">
        <f t="shared" si="6"/>
        <v>-100</v>
      </c>
      <c r="L117" s="181">
        <f t="shared" si="6"/>
        <v>-50</v>
      </c>
      <c r="M117" s="235">
        <v>33.333333333333336</v>
      </c>
      <c r="N117" s="235">
        <v>33.333333333333336</v>
      </c>
      <c r="O117" s="235">
        <v>33.333333333333336</v>
      </c>
      <c r="P117" s="235">
        <f t="shared" si="8"/>
        <v>-83.333333333333343</v>
      </c>
      <c r="Q117" s="235">
        <f t="shared" si="9"/>
        <v>-6</v>
      </c>
      <c r="R117" s="236">
        <f t="shared" si="10"/>
        <v>-77.333333333333343</v>
      </c>
    </row>
    <row r="118" spans="1:18" ht="12" hidden="1" customHeight="1">
      <c r="A118" s="207"/>
      <c r="B118" s="281">
        <v>41640</v>
      </c>
      <c r="C118" s="270" t="s">
        <v>348</v>
      </c>
      <c r="D118" s="209">
        <v>600</v>
      </c>
      <c r="E118" s="174">
        <v>600</v>
      </c>
      <c r="F118" s="174">
        <v>650</v>
      </c>
      <c r="G118" s="174">
        <v>0</v>
      </c>
      <c r="H118" s="174">
        <v>0</v>
      </c>
      <c r="I118" s="174">
        <v>0</v>
      </c>
      <c r="J118" s="174">
        <f t="shared" si="7"/>
        <v>600</v>
      </c>
      <c r="K118" s="174">
        <f t="shared" si="7"/>
        <v>600</v>
      </c>
      <c r="L118" s="174">
        <f t="shared" si="7"/>
        <v>650</v>
      </c>
      <c r="M118" s="233">
        <v>33.333333333333336</v>
      </c>
      <c r="N118" s="233">
        <v>33.333333333333336</v>
      </c>
      <c r="O118" s="233">
        <v>33.333333333333336</v>
      </c>
      <c r="P118" s="233">
        <f t="shared" si="8"/>
        <v>616.66666666666674</v>
      </c>
      <c r="Q118" s="239">
        <f t="shared" ref="Q118:Q181" si="11">$J$269</f>
        <v>-6</v>
      </c>
      <c r="R118" s="234">
        <f t="shared" si="10"/>
        <v>622.66666666666674</v>
      </c>
    </row>
    <row r="119" spans="1:18" s="210" customFormat="1" ht="12" hidden="1" customHeight="1">
      <c r="B119" s="280">
        <v>2</v>
      </c>
      <c r="C119" s="270" t="s">
        <v>349</v>
      </c>
      <c r="D119" s="209">
        <v>600</v>
      </c>
      <c r="E119" s="174">
        <v>600</v>
      </c>
      <c r="F119" s="174">
        <v>650</v>
      </c>
      <c r="G119" s="174">
        <v>0</v>
      </c>
      <c r="H119" s="174">
        <v>0</v>
      </c>
      <c r="I119" s="174">
        <v>0</v>
      </c>
      <c r="J119" s="174">
        <f t="shared" ref="J119:L129" si="12">D119+G119</f>
        <v>600</v>
      </c>
      <c r="K119" s="174">
        <f t="shared" si="12"/>
        <v>600</v>
      </c>
      <c r="L119" s="174">
        <f t="shared" si="12"/>
        <v>650</v>
      </c>
      <c r="M119" s="233">
        <v>33.333333333333336</v>
      </c>
      <c r="N119" s="233">
        <v>33.333333333333336</v>
      </c>
      <c r="O119" s="233">
        <v>33.333333333333336</v>
      </c>
      <c r="P119" s="233">
        <f t="shared" si="8"/>
        <v>616.66666666666674</v>
      </c>
      <c r="Q119" s="233">
        <f t="shared" si="11"/>
        <v>-6</v>
      </c>
      <c r="R119" s="234">
        <f t="shared" si="10"/>
        <v>622.66666666666674</v>
      </c>
    </row>
    <row r="120" spans="1:18" ht="12" hidden="1" customHeight="1">
      <c r="B120" s="280">
        <v>3</v>
      </c>
      <c r="C120" s="270" t="s">
        <v>168</v>
      </c>
      <c r="D120" s="209">
        <v>600</v>
      </c>
      <c r="E120" s="174">
        <v>600</v>
      </c>
      <c r="F120" s="174">
        <v>650</v>
      </c>
      <c r="G120" s="174">
        <v>0</v>
      </c>
      <c r="H120" s="174">
        <v>0</v>
      </c>
      <c r="I120" s="174">
        <v>0</v>
      </c>
      <c r="J120" s="174">
        <f t="shared" si="12"/>
        <v>600</v>
      </c>
      <c r="K120" s="174">
        <f t="shared" si="12"/>
        <v>600</v>
      </c>
      <c r="L120" s="174">
        <f t="shared" si="12"/>
        <v>650</v>
      </c>
      <c r="M120" s="233">
        <v>33.333333333333336</v>
      </c>
      <c r="N120" s="233">
        <v>33.333333333333336</v>
      </c>
      <c r="O120" s="233">
        <v>33.333333333333336</v>
      </c>
      <c r="P120" s="233">
        <f t="shared" si="8"/>
        <v>616.66666666666674</v>
      </c>
      <c r="Q120" s="233">
        <f t="shared" si="11"/>
        <v>-6</v>
      </c>
      <c r="R120" s="234">
        <f t="shared" si="10"/>
        <v>622.66666666666674</v>
      </c>
    </row>
    <row r="121" spans="1:18" ht="12" hidden="1" customHeight="1">
      <c r="B121" s="280">
        <v>4</v>
      </c>
      <c r="C121" s="270" t="s">
        <v>169</v>
      </c>
      <c r="D121" s="209">
        <v>600</v>
      </c>
      <c r="E121" s="174">
        <v>600</v>
      </c>
      <c r="F121" s="174">
        <v>650</v>
      </c>
      <c r="G121" s="174">
        <v>0</v>
      </c>
      <c r="H121" s="174">
        <v>0</v>
      </c>
      <c r="I121" s="174">
        <v>0</v>
      </c>
      <c r="J121" s="174">
        <f t="shared" si="12"/>
        <v>600</v>
      </c>
      <c r="K121" s="174">
        <f t="shared" si="12"/>
        <v>600</v>
      </c>
      <c r="L121" s="174">
        <f t="shared" si="12"/>
        <v>650</v>
      </c>
      <c r="M121" s="233">
        <v>33.333333333333336</v>
      </c>
      <c r="N121" s="233">
        <v>33.333333333333336</v>
      </c>
      <c r="O121" s="233">
        <v>33.333333333333336</v>
      </c>
      <c r="P121" s="233">
        <f t="shared" si="8"/>
        <v>616.66666666666674</v>
      </c>
      <c r="Q121" s="233">
        <f t="shared" si="11"/>
        <v>-6</v>
      </c>
      <c r="R121" s="234">
        <f t="shared" si="10"/>
        <v>622.66666666666674</v>
      </c>
    </row>
    <row r="122" spans="1:18" ht="12" hidden="1" customHeight="1">
      <c r="B122" s="280">
        <v>5</v>
      </c>
      <c r="C122" s="270" t="s">
        <v>160</v>
      </c>
      <c r="D122" s="209">
        <v>600</v>
      </c>
      <c r="E122" s="174">
        <v>600</v>
      </c>
      <c r="F122" s="174">
        <v>650</v>
      </c>
      <c r="G122" s="174">
        <v>0</v>
      </c>
      <c r="H122" s="174">
        <v>0</v>
      </c>
      <c r="I122" s="174">
        <v>0</v>
      </c>
      <c r="J122" s="174">
        <f t="shared" si="12"/>
        <v>600</v>
      </c>
      <c r="K122" s="174">
        <f t="shared" si="12"/>
        <v>600</v>
      </c>
      <c r="L122" s="174">
        <f t="shared" si="12"/>
        <v>650</v>
      </c>
      <c r="M122" s="233">
        <v>33.333333333333336</v>
      </c>
      <c r="N122" s="233">
        <v>33.333333333333336</v>
      </c>
      <c r="O122" s="233">
        <v>33.333333333333336</v>
      </c>
      <c r="P122" s="233">
        <f t="shared" si="8"/>
        <v>616.66666666666674</v>
      </c>
      <c r="Q122" s="233">
        <f t="shared" si="11"/>
        <v>-6</v>
      </c>
      <c r="R122" s="234">
        <f t="shared" si="10"/>
        <v>622.66666666666674</v>
      </c>
    </row>
    <row r="123" spans="1:18" ht="12" hidden="1" customHeight="1">
      <c r="B123" s="280">
        <v>6</v>
      </c>
      <c r="C123" s="270" t="s">
        <v>161</v>
      </c>
      <c r="D123" s="209">
        <v>600</v>
      </c>
      <c r="E123" s="174">
        <v>600</v>
      </c>
      <c r="F123" s="174">
        <v>650</v>
      </c>
      <c r="G123" s="174">
        <v>0</v>
      </c>
      <c r="H123" s="174">
        <v>0</v>
      </c>
      <c r="I123" s="174">
        <v>0</v>
      </c>
      <c r="J123" s="174">
        <f t="shared" si="12"/>
        <v>600</v>
      </c>
      <c r="K123" s="174">
        <f t="shared" si="12"/>
        <v>600</v>
      </c>
      <c r="L123" s="174">
        <f t="shared" si="12"/>
        <v>650</v>
      </c>
      <c r="M123" s="233">
        <v>33.333333333333336</v>
      </c>
      <c r="N123" s="233">
        <v>33.333333333333336</v>
      </c>
      <c r="O123" s="233">
        <v>33.333333333333336</v>
      </c>
      <c r="P123" s="233">
        <f t="shared" si="8"/>
        <v>616.66666666666674</v>
      </c>
      <c r="Q123" s="233">
        <f t="shared" si="11"/>
        <v>-6</v>
      </c>
      <c r="R123" s="234">
        <f t="shared" si="10"/>
        <v>622.66666666666674</v>
      </c>
    </row>
    <row r="124" spans="1:18" ht="12" hidden="1" customHeight="1">
      <c r="B124" s="280">
        <v>7</v>
      </c>
      <c r="C124" s="270" t="s">
        <v>162</v>
      </c>
      <c r="D124" s="209">
        <v>600</v>
      </c>
      <c r="E124" s="174">
        <v>600</v>
      </c>
      <c r="F124" s="174">
        <v>650</v>
      </c>
      <c r="G124" s="174">
        <v>0</v>
      </c>
      <c r="H124" s="174">
        <v>0</v>
      </c>
      <c r="I124" s="174">
        <v>0</v>
      </c>
      <c r="J124" s="174">
        <f t="shared" si="12"/>
        <v>600</v>
      </c>
      <c r="K124" s="174">
        <f t="shared" si="12"/>
        <v>600</v>
      </c>
      <c r="L124" s="174">
        <f t="shared" si="12"/>
        <v>650</v>
      </c>
      <c r="M124" s="233">
        <v>33.333333333333336</v>
      </c>
      <c r="N124" s="233">
        <v>33.333333333333336</v>
      </c>
      <c r="O124" s="233">
        <v>33.333333333333336</v>
      </c>
      <c r="P124" s="233">
        <f t="shared" si="8"/>
        <v>616.66666666666674</v>
      </c>
      <c r="Q124" s="233">
        <f t="shared" si="11"/>
        <v>-6</v>
      </c>
      <c r="R124" s="234">
        <f t="shared" si="10"/>
        <v>622.66666666666674</v>
      </c>
    </row>
    <row r="125" spans="1:18" ht="12" hidden="1" customHeight="1">
      <c r="B125" s="280">
        <v>8</v>
      </c>
      <c r="C125" s="270" t="s">
        <v>163</v>
      </c>
      <c r="D125" s="209">
        <v>600</v>
      </c>
      <c r="E125" s="174">
        <v>600</v>
      </c>
      <c r="F125" s="174">
        <v>650</v>
      </c>
      <c r="G125" s="174">
        <v>0</v>
      </c>
      <c r="H125" s="174">
        <v>0</v>
      </c>
      <c r="I125" s="174">
        <v>0</v>
      </c>
      <c r="J125" s="174">
        <f t="shared" si="12"/>
        <v>600</v>
      </c>
      <c r="K125" s="174">
        <f t="shared" si="12"/>
        <v>600</v>
      </c>
      <c r="L125" s="174">
        <f t="shared" si="12"/>
        <v>650</v>
      </c>
      <c r="M125" s="233">
        <v>33.333333333333336</v>
      </c>
      <c r="N125" s="233">
        <v>33.333333333333336</v>
      </c>
      <c r="O125" s="233">
        <v>33.333333333333336</v>
      </c>
      <c r="P125" s="233">
        <f t="shared" si="8"/>
        <v>616.66666666666674</v>
      </c>
      <c r="Q125" s="233">
        <f t="shared" si="11"/>
        <v>-6</v>
      </c>
      <c r="R125" s="234">
        <f t="shared" si="10"/>
        <v>622.66666666666674</v>
      </c>
    </row>
    <row r="126" spans="1:18" ht="12" hidden="1" customHeight="1">
      <c r="B126" s="280">
        <v>9</v>
      </c>
      <c r="C126" s="270" t="s">
        <v>164</v>
      </c>
      <c r="D126" s="209">
        <v>600</v>
      </c>
      <c r="E126" s="174">
        <v>600</v>
      </c>
      <c r="F126" s="174">
        <v>650</v>
      </c>
      <c r="G126" s="174">
        <v>0</v>
      </c>
      <c r="H126" s="174">
        <v>0</v>
      </c>
      <c r="I126" s="174">
        <v>0</v>
      </c>
      <c r="J126" s="174">
        <f t="shared" si="12"/>
        <v>600</v>
      </c>
      <c r="K126" s="174">
        <f t="shared" si="12"/>
        <v>600</v>
      </c>
      <c r="L126" s="174">
        <f t="shared" si="12"/>
        <v>650</v>
      </c>
      <c r="M126" s="233">
        <v>33.333333333333336</v>
      </c>
      <c r="N126" s="233">
        <v>33.333333333333336</v>
      </c>
      <c r="O126" s="233">
        <v>33.333333333333336</v>
      </c>
      <c r="P126" s="233">
        <f t="shared" si="8"/>
        <v>616.66666666666674</v>
      </c>
      <c r="Q126" s="233">
        <f t="shared" si="11"/>
        <v>-6</v>
      </c>
      <c r="R126" s="234">
        <f t="shared" si="10"/>
        <v>622.66666666666674</v>
      </c>
    </row>
    <row r="127" spans="1:18" ht="12" hidden="1" customHeight="1">
      <c r="B127" s="280">
        <v>10</v>
      </c>
      <c r="C127" s="270" t="s">
        <v>165</v>
      </c>
      <c r="D127" s="209">
        <v>600</v>
      </c>
      <c r="E127" s="174">
        <v>600</v>
      </c>
      <c r="F127" s="174">
        <v>650</v>
      </c>
      <c r="G127" s="174">
        <v>-800</v>
      </c>
      <c r="H127" s="174">
        <v>-800</v>
      </c>
      <c r="I127" s="174">
        <v>-800</v>
      </c>
      <c r="J127" s="174">
        <f t="shared" si="12"/>
        <v>-200</v>
      </c>
      <c r="K127" s="174">
        <f t="shared" si="12"/>
        <v>-200</v>
      </c>
      <c r="L127" s="174">
        <f t="shared" si="12"/>
        <v>-150</v>
      </c>
      <c r="M127" s="233">
        <v>33.333333333333336</v>
      </c>
      <c r="N127" s="233">
        <v>33.333333333333336</v>
      </c>
      <c r="O127" s="233">
        <v>33.333333333333336</v>
      </c>
      <c r="P127" s="233">
        <f t="shared" si="8"/>
        <v>-183.33333333333337</v>
      </c>
      <c r="Q127" s="233">
        <f t="shared" si="11"/>
        <v>-6</v>
      </c>
      <c r="R127" s="234">
        <f t="shared" si="10"/>
        <v>-177.33333333333337</v>
      </c>
    </row>
    <row r="128" spans="1:18" ht="12" hidden="1" customHeight="1">
      <c r="B128" s="280">
        <v>11</v>
      </c>
      <c r="C128" s="270" t="s">
        <v>166</v>
      </c>
      <c r="D128" s="209">
        <v>600</v>
      </c>
      <c r="E128" s="174">
        <v>600</v>
      </c>
      <c r="F128" s="174">
        <v>650</v>
      </c>
      <c r="G128" s="174">
        <v>-800</v>
      </c>
      <c r="H128" s="174">
        <v>-800</v>
      </c>
      <c r="I128" s="174">
        <v>-800</v>
      </c>
      <c r="J128" s="174">
        <f t="shared" si="12"/>
        <v>-200</v>
      </c>
      <c r="K128" s="174">
        <f t="shared" si="12"/>
        <v>-200</v>
      </c>
      <c r="L128" s="174">
        <f t="shared" si="12"/>
        <v>-150</v>
      </c>
      <c r="M128" s="233">
        <v>33.333333333333336</v>
      </c>
      <c r="N128" s="233">
        <v>33.333333333333336</v>
      </c>
      <c r="O128" s="233">
        <v>33.333333333333336</v>
      </c>
      <c r="P128" s="233">
        <f t="shared" si="8"/>
        <v>-183.33333333333337</v>
      </c>
      <c r="Q128" s="233">
        <f t="shared" si="11"/>
        <v>-6</v>
      </c>
      <c r="R128" s="234">
        <f t="shared" si="10"/>
        <v>-177.33333333333337</v>
      </c>
    </row>
    <row r="129" spans="1:18" ht="12" hidden="1" customHeight="1">
      <c r="B129" s="274">
        <v>12</v>
      </c>
      <c r="C129" s="270" t="s">
        <v>167</v>
      </c>
      <c r="D129" s="209">
        <v>600</v>
      </c>
      <c r="E129" s="174">
        <v>600</v>
      </c>
      <c r="F129" s="174">
        <v>650</v>
      </c>
      <c r="G129" s="174">
        <v>-800</v>
      </c>
      <c r="H129" s="174">
        <v>-800</v>
      </c>
      <c r="I129" s="174">
        <v>-800</v>
      </c>
      <c r="J129" s="174">
        <f t="shared" si="12"/>
        <v>-200</v>
      </c>
      <c r="K129" s="174">
        <f t="shared" si="12"/>
        <v>-200</v>
      </c>
      <c r="L129" s="174">
        <f t="shared" si="12"/>
        <v>-150</v>
      </c>
      <c r="M129" s="233">
        <v>33.333333333333336</v>
      </c>
      <c r="N129" s="233">
        <v>33.333333333333336</v>
      </c>
      <c r="O129" s="233">
        <v>33.333333333333336</v>
      </c>
      <c r="P129" s="233">
        <f t="shared" si="8"/>
        <v>-183.33333333333337</v>
      </c>
      <c r="Q129" s="233">
        <f t="shared" si="11"/>
        <v>-6</v>
      </c>
      <c r="R129" s="234">
        <f t="shared" si="10"/>
        <v>-177.33333333333337</v>
      </c>
    </row>
    <row r="130" spans="1:18" ht="12" hidden="1" customHeight="1">
      <c r="A130" s="207"/>
      <c r="B130" s="332">
        <v>42005</v>
      </c>
      <c r="C130" s="323" t="s">
        <v>358</v>
      </c>
      <c r="D130" s="333">
        <v>600</v>
      </c>
      <c r="E130" s="334">
        <v>600</v>
      </c>
      <c r="F130" s="334">
        <v>650</v>
      </c>
      <c r="G130" s="334">
        <v>-800</v>
      </c>
      <c r="H130" s="334">
        <v>-800</v>
      </c>
      <c r="I130" s="334">
        <v>-800</v>
      </c>
      <c r="J130" s="334">
        <f t="shared" ref="J130" si="13">D130+G130</f>
        <v>-200</v>
      </c>
      <c r="K130" s="334">
        <f t="shared" ref="K130" si="14">E130+H130</f>
        <v>-200</v>
      </c>
      <c r="L130" s="334">
        <f t="shared" ref="L130" si="15">F130+I130</f>
        <v>-150</v>
      </c>
      <c r="M130" s="335">
        <v>33.333333333333336</v>
      </c>
      <c r="N130" s="335">
        <v>33.333333333333336</v>
      </c>
      <c r="O130" s="335">
        <v>33.333333333333336</v>
      </c>
      <c r="P130" s="335">
        <f t="shared" ref="P130" si="16">(J130*M130+K130*N130+L130*O130)/100</f>
        <v>-183.33333333333337</v>
      </c>
      <c r="Q130" s="335">
        <f t="shared" si="11"/>
        <v>-6</v>
      </c>
      <c r="R130" s="336">
        <f t="shared" ref="R130" si="17">P130-Q130</f>
        <v>-177.33333333333337</v>
      </c>
    </row>
    <row r="131" spans="1:18" s="210" customFormat="1" ht="12" hidden="1" customHeight="1">
      <c r="B131" s="280">
        <v>2</v>
      </c>
      <c r="C131" s="270" t="s">
        <v>349</v>
      </c>
      <c r="D131" s="209">
        <v>600</v>
      </c>
      <c r="E131" s="174">
        <v>600</v>
      </c>
      <c r="F131" s="174">
        <v>650</v>
      </c>
      <c r="G131" s="174">
        <v>-800</v>
      </c>
      <c r="H131" s="174">
        <v>-800</v>
      </c>
      <c r="I131" s="174">
        <v>-800</v>
      </c>
      <c r="J131" s="174">
        <f t="shared" ref="J131:J132" si="18">D131+G131</f>
        <v>-200</v>
      </c>
      <c r="K131" s="174">
        <f t="shared" ref="K131:K132" si="19">E131+H131</f>
        <v>-200</v>
      </c>
      <c r="L131" s="174">
        <f t="shared" ref="L131:L132" si="20">F131+I131</f>
        <v>-150</v>
      </c>
      <c r="M131" s="233">
        <v>33.333333333333336</v>
      </c>
      <c r="N131" s="233">
        <v>33.333333333333336</v>
      </c>
      <c r="O131" s="233">
        <v>33.333333333333336</v>
      </c>
      <c r="P131" s="233">
        <f t="shared" ref="P131:P132" si="21">(J131*M131+K131*N131+L131*O131)/100</f>
        <v>-183.33333333333337</v>
      </c>
      <c r="Q131" s="233">
        <f t="shared" si="11"/>
        <v>-6</v>
      </c>
      <c r="R131" s="234">
        <f t="shared" ref="R131:R132" si="22">P131-Q131</f>
        <v>-177.33333333333337</v>
      </c>
    </row>
    <row r="132" spans="1:18" ht="12" hidden="1" customHeight="1">
      <c r="B132" s="280">
        <v>3</v>
      </c>
      <c r="C132" s="270" t="s">
        <v>168</v>
      </c>
      <c r="D132" s="209">
        <v>600</v>
      </c>
      <c r="E132" s="174">
        <v>600</v>
      </c>
      <c r="F132" s="174">
        <v>650</v>
      </c>
      <c r="G132" s="174">
        <v>-800</v>
      </c>
      <c r="H132" s="174">
        <v>-800</v>
      </c>
      <c r="I132" s="174">
        <v>-800</v>
      </c>
      <c r="J132" s="174">
        <f t="shared" si="18"/>
        <v>-200</v>
      </c>
      <c r="K132" s="174">
        <f t="shared" si="19"/>
        <v>-200</v>
      </c>
      <c r="L132" s="174">
        <f t="shared" si="20"/>
        <v>-150</v>
      </c>
      <c r="M132" s="233">
        <v>33.333333333333336</v>
      </c>
      <c r="N132" s="233">
        <v>33.333333333333336</v>
      </c>
      <c r="O132" s="233">
        <v>33.333333333333336</v>
      </c>
      <c r="P132" s="233">
        <f t="shared" si="21"/>
        <v>-183.33333333333337</v>
      </c>
      <c r="Q132" s="233">
        <f t="shared" si="11"/>
        <v>-6</v>
      </c>
      <c r="R132" s="234">
        <f t="shared" si="22"/>
        <v>-177.33333333333337</v>
      </c>
    </row>
    <row r="133" spans="1:18" ht="12" hidden="1" customHeight="1">
      <c r="B133" s="280">
        <v>4</v>
      </c>
      <c r="C133" s="270" t="s">
        <v>169</v>
      </c>
      <c r="D133" s="209">
        <v>600</v>
      </c>
      <c r="E133" s="174">
        <v>600</v>
      </c>
      <c r="F133" s="174">
        <v>650</v>
      </c>
      <c r="G133" s="174">
        <v>0</v>
      </c>
      <c r="H133" s="174">
        <v>0</v>
      </c>
      <c r="I133" s="174">
        <v>0</v>
      </c>
      <c r="J133" s="174">
        <f t="shared" ref="J133:J144" si="23">D133+G133</f>
        <v>600</v>
      </c>
      <c r="K133" s="174">
        <f t="shared" ref="K133:K144" si="24">E133+H133</f>
        <v>600</v>
      </c>
      <c r="L133" s="174">
        <f t="shared" ref="L133:L144" si="25">F133+I133</f>
        <v>650</v>
      </c>
      <c r="M133" s="233">
        <v>33.333333333333336</v>
      </c>
      <c r="N133" s="233">
        <v>33.333333333333336</v>
      </c>
      <c r="O133" s="233">
        <v>33.333333333333336</v>
      </c>
      <c r="P133" s="233">
        <f t="shared" ref="P133:P144" si="26">(J133*M133+K133*N133+L133*O133)/100</f>
        <v>616.66666666666674</v>
      </c>
      <c r="Q133" s="233">
        <f t="shared" si="11"/>
        <v>-6</v>
      </c>
      <c r="R133" s="234">
        <f t="shared" ref="R133:R144" si="27">P133-Q133</f>
        <v>622.66666666666674</v>
      </c>
    </row>
    <row r="134" spans="1:18" ht="12" hidden="1" customHeight="1">
      <c r="B134" s="280">
        <v>5</v>
      </c>
      <c r="C134" s="270" t="s">
        <v>160</v>
      </c>
      <c r="D134" s="209">
        <v>600</v>
      </c>
      <c r="E134" s="174">
        <v>600</v>
      </c>
      <c r="F134" s="174">
        <v>650</v>
      </c>
      <c r="G134" s="174">
        <v>0</v>
      </c>
      <c r="H134" s="174">
        <v>0</v>
      </c>
      <c r="I134" s="174">
        <v>0</v>
      </c>
      <c r="J134" s="174">
        <f t="shared" si="23"/>
        <v>600</v>
      </c>
      <c r="K134" s="174">
        <f t="shared" si="24"/>
        <v>600</v>
      </c>
      <c r="L134" s="174">
        <f t="shared" si="25"/>
        <v>650</v>
      </c>
      <c r="M134" s="233">
        <v>33.333333333333336</v>
      </c>
      <c r="N134" s="233">
        <v>33.333333333333336</v>
      </c>
      <c r="O134" s="233">
        <v>33.333333333333336</v>
      </c>
      <c r="P134" s="233">
        <f t="shared" si="26"/>
        <v>616.66666666666674</v>
      </c>
      <c r="Q134" s="233">
        <f t="shared" si="11"/>
        <v>-6</v>
      </c>
      <c r="R134" s="234">
        <f t="shared" si="27"/>
        <v>622.66666666666674</v>
      </c>
    </row>
    <row r="135" spans="1:18" ht="12" hidden="1" customHeight="1">
      <c r="B135" s="280">
        <v>6</v>
      </c>
      <c r="C135" s="270" t="s">
        <v>161</v>
      </c>
      <c r="D135" s="209">
        <v>600</v>
      </c>
      <c r="E135" s="174">
        <v>600</v>
      </c>
      <c r="F135" s="174">
        <v>650</v>
      </c>
      <c r="G135" s="174">
        <v>0</v>
      </c>
      <c r="H135" s="174">
        <v>0</v>
      </c>
      <c r="I135" s="174">
        <v>0</v>
      </c>
      <c r="J135" s="174">
        <f t="shared" si="23"/>
        <v>600</v>
      </c>
      <c r="K135" s="174">
        <f t="shared" si="24"/>
        <v>600</v>
      </c>
      <c r="L135" s="174">
        <f t="shared" si="25"/>
        <v>650</v>
      </c>
      <c r="M135" s="233">
        <v>33.333333333333336</v>
      </c>
      <c r="N135" s="233">
        <v>33.333333333333336</v>
      </c>
      <c r="O135" s="233">
        <v>33.333333333333336</v>
      </c>
      <c r="P135" s="233">
        <f t="shared" si="26"/>
        <v>616.66666666666674</v>
      </c>
      <c r="Q135" s="233">
        <f t="shared" si="11"/>
        <v>-6</v>
      </c>
      <c r="R135" s="234">
        <f t="shared" si="27"/>
        <v>622.66666666666674</v>
      </c>
    </row>
    <row r="136" spans="1:18" ht="12" hidden="1" customHeight="1">
      <c r="B136" s="280">
        <v>7</v>
      </c>
      <c r="C136" s="270" t="s">
        <v>162</v>
      </c>
      <c r="D136" s="209">
        <v>600</v>
      </c>
      <c r="E136" s="174">
        <v>600</v>
      </c>
      <c r="F136" s="174">
        <v>650</v>
      </c>
      <c r="G136" s="174">
        <v>0</v>
      </c>
      <c r="H136" s="174">
        <v>0</v>
      </c>
      <c r="I136" s="174">
        <v>0</v>
      </c>
      <c r="J136" s="174">
        <f t="shared" si="23"/>
        <v>600</v>
      </c>
      <c r="K136" s="174">
        <f t="shared" si="24"/>
        <v>600</v>
      </c>
      <c r="L136" s="174">
        <f t="shared" si="25"/>
        <v>650</v>
      </c>
      <c r="M136" s="233">
        <v>33.333333333333336</v>
      </c>
      <c r="N136" s="233">
        <v>33.333333333333336</v>
      </c>
      <c r="O136" s="233">
        <v>33.333333333333336</v>
      </c>
      <c r="P136" s="233">
        <f t="shared" si="26"/>
        <v>616.66666666666674</v>
      </c>
      <c r="Q136" s="233">
        <f t="shared" si="11"/>
        <v>-6</v>
      </c>
      <c r="R136" s="234">
        <f t="shared" si="27"/>
        <v>622.66666666666674</v>
      </c>
    </row>
    <row r="137" spans="1:18" ht="12" hidden="1" customHeight="1">
      <c r="B137" s="280">
        <v>8</v>
      </c>
      <c r="C137" s="270" t="s">
        <v>163</v>
      </c>
      <c r="D137" s="209">
        <v>600</v>
      </c>
      <c r="E137" s="174">
        <v>600</v>
      </c>
      <c r="F137" s="174">
        <v>650</v>
      </c>
      <c r="G137" s="174">
        <v>0</v>
      </c>
      <c r="H137" s="174">
        <v>0</v>
      </c>
      <c r="I137" s="174">
        <v>0</v>
      </c>
      <c r="J137" s="174">
        <f t="shared" si="23"/>
        <v>600</v>
      </c>
      <c r="K137" s="174">
        <f t="shared" si="24"/>
        <v>600</v>
      </c>
      <c r="L137" s="174">
        <f t="shared" si="25"/>
        <v>650</v>
      </c>
      <c r="M137" s="233">
        <v>33.333333333333336</v>
      </c>
      <c r="N137" s="233">
        <v>33.333333333333336</v>
      </c>
      <c r="O137" s="233">
        <v>33.333333333333336</v>
      </c>
      <c r="P137" s="233">
        <f t="shared" si="26"/>
        <v>616.66666666666674</v>
      </c>
      <c r="Q137" s="233">
        <f t="shared" si="11"/>
        <v>-6</v>
      </c>
      <c r="R137" s="234">
        <f t="shared" si="27"/>
        <v>622.66666666666674</v>
      </c>
    </row>
    <row r="138" spans="1:18" ht="12" hidden="1" customHeight="1">
      <c r="B138" s="280">
        <v>9</v>
      </c>
      <c r="C138" s="270" t="s">
        <v>164</v>
      </c>
      <c r="D138" s="209">
        <v>600</v>
      </c>
      <c r="E138" s="174">
        <v>600</v>
      </c>
      <c r="F138" s="174">
        <v>650</v>
      </c>
      <c r="G138" s="174">
        <v>0</v>
      </c>
      <c r="H138" s="174">
        <v>0</v>
      </c>
      <c r="I138" s="174">
        <v>0</v>
      </c>
      <c r="J138" s="174">
        <f t="shared" si="23"/>
        <v>600</v>
      </c>
      <c r="K138" s="174">
        <f t="shared" si="24"/>
        <v>600</v>
      </c>
      <c r="L138" s="174">
        <f t="shared" si="25"/>
        <v>650</v>
      </c>
      <c r="M138" s="233">
        <v>33.333333333333336</v>
      </c>
      <c r="N138" s="233">
        <v>33.333333333333336</v>
      </c>
      <c r="O138" s="233">
        <v>33.333333333333336</v>
      </c>
      <c r="P138" s="233">
        <f t="shared" si="26"/>
        <v>616.66666666666674</v>
      </c>
      <c r="Q138" s="233">
        <f t="shared" si="11"/>
        <v>-6</v>
      </c>
      <c r="R138" s="234">
        <f t="shared" si="27"/>
        <v>622.66666666666674</v>
      </c>
    </row>
    <row r="139" spans="1:18" ht="12" hidden="1" customHeight="1">
      <c r="B139" s="280">
        <v>10</v>
      </c>
      <c r="C139" s="270" t="s">
        <v>165</v>
      </c>
      <c r="D139" s="209">
        <v>600</v>
      </c>
      <c r="E139" s="174">
        <v>600</v>
      </c>
      <c r="F139" s="174">
        <v>650</v>
      </c>
      <c r="G139" s="174">
        <v>0</v>
      </c>
      <c r="H139" s="174">
        <v>0</v>
      </c>
      <c r="I139" s="174">
        <v>0</v>
      </c>
      <c r="J139" s="174">
        <f t="shared" si="23"/>
        <v>600</v>
      </c>
      <c r="K139" s="174">
        <f t="shared" si="24"/>
        <v>600</v>
      </c>
      <c r="L139" s="174">
        <f t="shared" si="25"/>
        <v>650</v>
      </c>
      <c r="M139" s="233">
        <v>33.333333333333336</v>
      </c>
      <c r="N139" s="233">
        <v>33.333333333333336</v>
      </c>
      <c r="O139" s="233">
        <v>33.333333333333336</v>
      </c>
      <c r="P139" s="233">
        <f t="shared" si="26"/>
        <v>616.66666666666674</v>
      </c>
      <c r="Q139" s="233">
        <f t="shared" si="11"/>
        <v>-6</v>
      </c>
      <c r="R139" s="234">
        <f t="shared" si="27"/>
        <v>622.66666666666674</v>
      </c>
    </row>
    <row r="140" spans="1:18" ht="12" hidden="1" customHeight="1">
      <c r="B140" s="274">
        <v>11</v>
      </c>
      <c r="C140" s="270" t="s">
        <v>166</v>
      </c>
      <c r="D140" s="392">
        <v>600</v>
      </c>
      <c r="E140" s="174">
        <v>600</v>
      </c>
      <c r="F140" s="174">
        <v>650</v>
      </c>
      <c r="G140" s="174">
        <v>0</v>
      </c>
      <c r="H140" s="174">
        <v>0</v>
      </c>
      <c r="I140" s="174">
        <v>0</v>
      </c>
      <c r="J140" s="174">
        <f t="shared" si="23"/>
        <v>600</v>
      </c>
      <c r="K140" s="174">
        <f t="shared" si="24"/>
        <v>600</v>
      </c>
      <c r="L140" s="174">
        <f t="shared" si="25"/>
        <v>650</v>
      </c>
      <c r="M140" s="233">
        <v>33.333333333333336</v>
      </c>
      <c r="N140" s="233">
        <v>33.333333333333336</v>
      </c>
      <c r="O140" s="233">
        <v>33.333333333333336</v>
      </c>
      <c r="P140" s="233">
        <f t="shared" si="26"/>
        <v>616.66666666666674</v>
      </c>
      <c r="Q140" s="233">
        <f t="shared" si="11"/>
        <v>-6</v>
      </c>
      <c r="R140" s="234">
        <f t="shared" si="27"/>
        <v>622.66666666666674</v>
      </c>
    </row>
    <row r="141" spans="1:18" ht="12" hidden="1" customHeight="1">
      <c r="B141" s="276">
        <v>12</v>
      </c>
      <c r="C141" s="271" t="s">
        <v>167</v>
      </c>
      <c r="D141" s="393">
        <v>600</v>
      </c>
      <c r="E141" s="181">
        <v>600</v>
      </c>
      <c r="F141" s="181">
        <v>650</v>
      </c>
      <c r="G141" s="181">
        <v>0</v>
      </c>
      <c r="H141" s="181">
        <v>0</v>
      </c>
      <c r="I141" s="181">
        <v>0</v>
      </c>
      <c r="J141" s="181">
        <f t="shared" si="23"/>
        <v>600</v>
      </c>
      <c r="K141" s="181">
        <f t="shared" si="24"/>
        <v>600</v>
      </c>
      <c r="L141" s="181">
        <f t="shared" si="25"/>
        <v>650</v>
      </c>
      <c r="M141" s="235">
        <v>33.333333333333336</v>
      </c>
      <c r="N141" s="235">
        <v>33.333333333333336</v>
      </c>
      <c r="O141" s="235">
        <v>33.333333333333336</v>
      </c>
      <c r="P141" s="235">
        <f t="shared" si="26"/>
        <v>616.66666666666674</v>
      </c>
      <c r="Q141" s="235">
        <f t="shared" si="11"/>
        <v>-6</v>
      </c>
      <c r="R141" s="236">
        <f t="shared" si="27"/>
        <v>622.66666666666674</v>
      </c>
    </row>
    <row r="142" spans="1:18" ht="12" customHeight="1">
      <c r="A142" s="207"/>
      <c r="B142" s="277">
        <v>42370</v>
      </c>
      <c r="C142" s="270" t="s">
        <v>370</v>
      </c>
      <c r="D142" s="392">
        <v>600</v>
      </c>
      <c r="E142" s="174">
        <v>600</v>
      </c>
      <c r="F142" s="174">
        <v>650</v>
      </c>
      <c r="G142" s="174">
        <v>0</v>
      </c>
      <c r="H142" s="174">
        <v>0</v>
      </c>
      <c r="I142" s="174">
        <v>0</v>
      </c>
      <c r="J142" s="174">
        <f t="shared" si="23"/>
        <v>600</v>
      </c>
      <c r="K142" s="174">
        <f t="shared" si="24"/>
        <v>600</v>
      </c>
      <c r="L142" s="174">
        <f t="shared" si="25"/>
        <v>650</v>
      </c>
      <c r="M142" s="233">
        <v>33.333333333333336</v>
      </c>
      <c r="N142" s="233">
        <v>33.333333333333336</v>
      </c>
      <c r="O142" s="233">
        <v>33.333333333333336</v>
      </c>
      <c r="P142" s="233">
        <f t="shared" si="26"/>
        <v>616.66666666666674</v>
      </c>
      <c r="Q142" s="233">
        <f t="shared" si="11"/>
        <v>-6</v>
      </c>
      <c r="R142" s="234">
        <f t="shared" si="27"/>
        <v>622.66666666666674</v>
      </c>
    </row>
    <row r="143" spans="1:18" s="210" customFormat="1" ht="12" customHeight="1">
      <c r="B143" s="280">
        <v>2</v>
      </c>
      <c r="C143" s="270" t="s">
        <v>349</v>
      </c>
      <c r="D143" s="209">
        <v>600</v>
      </c>
      <c r="E143" s="174">
        <v>600</v>
      </c>
      <c r="F143" s="174">
        <v>650</v>
      </c>
      <c r="G143" s="174">
        <v>0</v>
      </c>
      <c r="H143" s="174">
        <v>0</v>
      </c>
      <c r="I143" s="174">
        <v>0</v>
      </c>
      <c r="J143" s="174">
        <f t="shared" si="23"/>
        <v>600</v>
      </c>
      <c r="K143" s="174">
        <f t="shared" si="24"/>
        <v>600</v>
      </c>
      <c r="L143" s="174">
        <f t="shared" si="25"/>
        <v>650</v>
      </c>
      <c r="M143" s="233">
        <v>33.333333333333336</v>
      </c>
      <c r="N143" s="233">
        <v>33.333333333333336</v>
      </c>
      <c r="O143" s="233">
        <v>33.333333333333336</v>
      </c>
      <c r="P143" s="233">
        <f t="shared" si="26"/>
        <v>616.66666666666674</v>
      </c>
      <c r="Q143" s="233">
        <f t="shared" si="11"/>
        <v>-6</v>
      </c>
      <c r="R143" s="234">
        <f t="shared" si="27"/>
        <v>622.66666666666674</v>
      </c>
    </row>
    <row r="144" spans="1:18" ht="12" customHeight="1">
      <c r="B144" s="280">
        <v>3</v>
      </c>
      <c r="C144" s="270" t="s">
        <v>168</v>
      </c>
      <c r="D144" s="209">
        <v>600</v>
      </c>
      <c r="E144" s="174">
        <v>600</v>
      </c>
      <c r="F144" s="174">
        <v>650</v>
      </c>
      <c r="G144" s="174">
        <v>0</v>
      </c>
      <c r="H144" s="174">
        <v>0</v>
      </c>
      <c r="I144" s="174">
        <v>0</v>
      </c>
      <c r="J144" s="174">
        <f t="shared" si="23"/>
        <v>600</v>
      </c>
      <c r="K144" s="174">
        <f t="shared" si="24"/>
        <v>600</v>
      </c>
      <c r="L144" s="174">
        <f t="shared" si="25"/>
        <v>650</v>
      </c>
      <c r="M144" s="233">
        <v>33.333333333333336</v>
      </c>
      <c r="N144" s="233">
        <v>33.333333333333336</v>
      </c>
      <c r="O144" s="233">
        <v>33.333333333333336</v>
      </c>
      <c r="P144" s="233">
        <f t="shared" si="26"/>
        <v>616.66666666666674</v>
      </c>
      <c r="Q144" s="233">
        <f t="shared" si="11"/>
        <v>-6</v>
      </c>
      <c r="R144" s="234">
        <f t="shared" si="27"/>
        <v>622.66666666666674</v>
      </c>
    </row>
    <row r="145" spans="1:18" ht="12" customHeight="1">
      <c r="B145" s="280">
        <v>4</v>
      </c>
      <c r="C145" s="270" t="s">
        <v>169</v>
      </c>
      <c r="D145" s="209">
        <v>600</v>
      </c>
      <c r="E145" s="174">
        <v>600</v>
      </c>
      <c r="F145" s="174">
        <v>650</v>
      </c>
      <c r="G145" s="174">
        <v>0</v>
      </c>
      <c r="H145" s="174">
        <v>0</v>
      </c>
      <c r="I145" s="174">
        <v>0</v>
      </c>
      <c r="J145" s="174">
        <f t="shared" ref="J145:J156" si="28">D145+G145</f>
        <v>600</v>
      </c>
      <c r="K145" s="174">
        <f t="shared" ref="K145:K156" si="29">E145+H145</f>
        <v>600</v>
      </c>
      <c r="L145" s="174">
        <f t="shared" ref="L145:L156" si="30">F145+I145</f>
        <v>650</v>
      </c>
      <c r="M145" s="233">
        <v>33.333333333333336</v>
      </c>
      <c r="N145" s="233">
        <v>33.333333333333336</v>
      </c>
      <c r="O145" s="233">
        <v>33.333333333333336</v>
      </c>
      <c r="P145" s="233">
        <f t="shared" ref="P145:P156" si="31">(J145*M145+K145*N145+L145*O145)/100</f>
        <v>616.66666666666674</v>
      </c>
      <c r="Q145" s="233">
        <f t="shared" si="11"/>
        <v>-6</v>
      </c>
      <c r="R145" s="234">
        <f t="shared" ref="R145:R156" si="32">P145-Q145</f>
        <v>622.66666666666674</v>
      </c>
    </row>
    <row r="146" spans="1:18" ht="12" customHeight="1">
      <c r="B146" s="280">
        <v>5</v>
      </c>
      <c r="C146" s="270" t="s">
        <v>160</v>
      </c>
      <c r="D146" s="209">
        <v>600</v>
      </c>
      <c r="E146" s="174">
        <v>600</v>
      </c>
      <c r="F146" s="174">
        <v>650</v>
      </c>
      <c r="G146" s="174">
        <v>0</v>
      </c>
      <c r="H146" s="174">
        <v>0</v>
      </c>
      <c r="I146" s="174">
        <v>0</v>
      </c>
      <c r="J146" s="174">
        <f t="shared" si="28"/>
        <v>600</v>
      </c>
      <c r="K146" s="174">
        <f t="shared" si="29"/>
        <v>600</v>
      </c>
      <c r="L146" s="174">
        <f t="shared" si="30"/>
        <v>650</v>
      </c>
      <c r="M146" s="233">
        <v>33.333333333333336</v>
      </c>
      <c r="N146" s="233">
        <v>33.333333333333336</v>
      </c>
      <c r="O146" s="233">
        <v>33.333333333333336</v>
      </c>
      <c r="P146" s="233">
        <f t="shared" si="31"/>
        <v>616.66666666666674</v>
      </c>
      <c r="Q146" s="233">
        <f t="shared" si="11"/>
        <v>-6</v>
      </c>
      <c r="R146" s="234">
        <f t="shared" si="32"/>
        <v>622.66666666666674</v>
      </c>
    </row>
    <row r="147" spans="1:18" ht="12" customHeight="1">
      <c r="B147" s="280">
        <v>6</v>
      </c>
      <c r="C147" s="270" t="s">
        <v>161</v>
      </c>
      <c r="D147" s="209">
        <v>600</v>
      </c>
      <c r="E147" s="174">
        <v>600</v>
      </c>
      <c r="F147" s="174">
        <v>650</v>
      </c>
      <c r="G147" s="174">
        <v>0</v>
      </c>
      <c r="H147" s="174">
        <v>0</v>
      </c>
      <c r="I147" s="174">
        <v>0</v>
      </c>
      <c r="J147" s="174">
        <f t="shared" si="28"/>
        <v>600</v>
      </c>
      <c r="K147" s="174">
        <f t="shared" si="29"/>
        <v>600</v>
      </c>
      <c r="L147" s="174">
        <f t="shared" si="30"/>
        <v>650</v>
      </c>
      <c r="M147" s="233">
        <v>33.333333333333336</v>
      </c>
      <c r="N147" s="233">
        <v>33.333333333333336</v>
      </c>
      <c r="O147" s="233">
        <v>33.333333333333336</v>
      </c>
      <c r="P147" s="233">
        <f t="shared" si="31"/>
        <v>616.66666666666674</v>
      </c>
      <c r="Q147" s="233">
        <f t="shared" si="11"/>
        <v>-6</v>
      </c>
      <c r="R147" s="234">
        <f t="shared" si="32"/>
        <v>622.66666666666674</v>
      </c>
    </row>
    <row r="148" spans="1:18" ht="12" customHeight="1">
      <c r="B148" s="280">
        <v>7</v>
      </c>
      <c r="C148" s="270" t="s">
        <v>162</v>
      </c>
      <c r="D148" s="209">
        <v>600</v>
      </c>
      <c r="E148" s="174">
        <v>600</v>
      </c>
      <c r="F148" s="174">
        <v>650</v>
      </c>
      <c r="G148" s="174">
        <v>0</v>
      </c>
      <c r="H148" s="174">
        <v>0</v>
      </c>
      <c r="I148" s="174">
        <v>0</v>
      </c>
      <c r="J148" s="174">
        <f t="shared" si="28"/>
        <v>600</v>
      </c>
      <c r="K148" s="174">
        <f t="shared" si="29"/>
        <v>600</v>
      </c>
      <c r="L148" s="174">
        <f t="shared" si="30"/>
        <v>650</v>
      </c>
      <c r="M148" s="233">
        <v>33.333333333333336</v>
      </c>
      <c r="N148" s="233">
        <v>33.333333333333336</v>
      </c>
      <c r="O148" s="233">
        <v>33.333333333333336</v>
      </c>
      <c r="P148" s="233">
        <f t="shared" si="31"/>
        <v>616.66666666666674</v>
      </c>
      <c r="Q148" s="233">
        <f t="shared" si="11"/>
        <v>-6</v>
      </c>
      <c r="R148" s="234">
        <f t="shared" si="32"/>
        <v>622.66666666666674</v>
      </c>
    </row>
    <row r="149" spans="1:18" ht="12" customHeight="1">
      <c r="B149" s="280">
        <v>8</v>
      </c>
      <c r="C149" s="270" t="s">
        <v>163</v>
      </c>
      <c r="D149" s="209">
        <v>600</v>
      </c>
      <c r="E149" s="174">
        <v>600</v>
      </c>
      <c r="F149" s="174">
        <v>650</v>
      </c>
      <c r="G149" s="174">
        <v>0</v>
      </c>
      <c r="H149" s="174">
        <v>0</v>
      </c>
      <c r="I149" s="174">
        <v>0</v>
      </c>
      <c r="J149" s="174">
        <f t="shared" si="28"/>
        <v>600</v>
      </c>
      <c r="K149" s="174">
        <f t="shared" si="29"/>
        <v>600</v>
      </c>
      <c r="L149" s="174">
        <f t="shared" si="30"/>
        <v>650</v>
      </c>
      <c r="M149" s="233">
        <v>33.333333333333336</v>
      </c>
      <c r="N149" s="233">
        <v>33.333333333333336</v>
      </c>
      <c r="O149" s="233">
        <v>33.333333333333336</v>
      </c>
      <c r="P149" s="233">
        <f t="shared" si="31"/>
        <v>616.66666666666674</v>
      </c>
      <c r="Q149" s="233">
        <f t="shared" si="11"/>
        <v>-6</v>
      </c>
      <c r="R149" s="234">
        <f t="shared" si="32"/>
        <v>622.66666666666674</v>
      </c>
    </row>
    <row r="150" spans="1:18" ht="12" customHeight="1">
      <c r="B150" s="280">
        <v>9</v>
      </c>
      <c r="C150" s="270" t="s">
        <v>164</v>
      </c>
      <c r="D150" s="209">
        <v>600</v>
      </c>
      <c r="E150" s="174">
        <v>600</v>
      </c>
      <c r="F150" s="174">
        <v>650</v>
      </c>
      <c r="G150" s="174">
        <v>0</v>
      </c>
      <c r="H150" s="174">
        <v>0</v>
      </c>
      <c r="I150" s="174">
        <v>0</v>
      </c>
      <c r="J150" s="174">
        <f t="shared" si="28"/>
        <v>600</v>
      </c>
      <c r="K150" s="174">
        <f t="shared" si="29"/>
        <v>600</v>
      </c>
      <c r="L150" s="174">
        <f t="shared" si="30"/>
        <v>650</v>
      </c>
      <c r="M150" s="233">
        <v>33.333333333333336</v>
      </c>
      <c r="N150" s="233">
        <v>33.333333333333336</v>
      </c>
      <c r="O150" s="233">
        <v>33.333333333333336</v>
      </c>
      <c r="P150" s="233">
        <f t="shared" si="31"/>
        <v>616.66666666666674</v>
      </c>
      <c r="Q150" s="233">
        <f t="shared" si="11"/>
        <v>-6</v>
      </c>
      <c r="R150" s="234">
        <f t="shared" si="32"/>
        <v>622.66666666666674</v>
      </c>
    </row>
    <row r="151" spans="1:18" ht="12" customHeight="1">
      <c r="B151" s="280">
        <v>10</v>
      </c>
      <c r="C151" s="270" t="s">
        <v>165</v>
      </c>
      <c r="D151" s="209">
        <v>600</v>
      </c>
      <c r="E151" s="174">
        <v>600</v>
      </c>
      <c r="F151" s="174">
        <v>650</v>
      </c>
      <c r="G151" s="174">
        <v>0</v>
      </c>
      <c r="H151" s="174">
        <v>0</v>
      </c>
      <c r="I151" s="174">
        <v>0</v>
      </c>
      <c r="J151" s="174">
        <f t="shared" si="28"/>
        <v>600</v>
      </c>
      <c r="K151" s="174">
        <f t="shared" si="29"/>
        <v>600</v>
      </c>
      <c r="L151" s="174">
        <f t="shared" si="30"/>
        <v>650</v>
      </c>
      <c r="M151" s="233">
        <v>33.333333333333336</v>
      </c>
      <c r="N151" s="233">
        <v>33.333333333333336</v>
      </c>
      <c r="O151" s="233">
        <v>33.333333333333336</v>
      </c>
      <c r="P151" s="233">
        <f t="shared" si="31"/>
        <v>616.66666666666674</v>
      </c>
      <c r="Q151" s="233">
        <f t="shared" si="11"/>
        <v>-6</v>
      </c>
      <c r="R151" s="234">
        <f t="shared" si="32"/>
        <v>622.66666666666674</v>
      </c>
    </row>
    <row r="152" spans="1:18" ht="12" customHeight="1">
      <c r="B152" s="339">
        <v>11</v>
      </c>
      <c r="C152" s="270" t="s">
        <v>166</v>
      </c>
      <c r="D152" s="399">
        <v>600</v>
      </c>
      <c r="E152" s="174">
        <v>600</v>
      </c>
      <c r="F152" s="174">
        <v>650</v>
      </c>
      <c r="G152" s="174">
        <v>0</v>
      </c>
      <c r="H152" s="174">
        <v>0</v>
      </c>
      <c r="I152" s="174">
        <v>0</v>
      </c>
      <c r="J152" s="174">
        <f t="shared" si="28"/>
        <v>600</v>
      </c>
      <c r="K152" s="174">
        <f t="shared" si="29"/>
        <v>600</v>
      </c>
      <c r="L152" s="174">
        <f t="shared" si="30"/>
        <v>650</v>
      </c>
      <c r="M152" s="233">
        <v>33.333333333333336</v>
      </c>
      <c r="N152" s="233">
        <v>33.333333333333336</v>
      </c>
      <c r="O152" s="233">
        <v>33.333333333333336</v>
      </c>
      <c r="P152" s="233">
        <f t="shared" si="31"/>
        <v>616.66666666666674</v>
      </c>
      <c r="Q152" s="233">
        <f t="shared" si="11"/>
        <v>-6</v>
      </c>
      <c r="R152" s="234">
        <f t="shared" si="32"/>
        <v>622.66666666666674</v>
      </c>
    </row>
    <row r="153" spans="1:18" ht="12" customHeight="1">
      <c r="B153" s="276">
        <v>12</v>
      </c>
      <c r="C153" s="271" t="s">
        <v>167</v>
      </c>
      <c r="D153" s="238">
        <v>600</v>
      </c>
      <c r="E153" s="181">
        <v>600</v>
      </c>
      <c r="F153" s="181">
        <v>650</v>
      </c>
      <c r="G153" s="181">
        <v>0</v>
      </c>
      <c r="H153" s="181">
        <v>0</v>
      </c>
      <c r="I153" s="181">
        <v>0</v>
      </c>
      <c r="J153" s="181">
        <f t="shared" si="28"/>
        <v>600</v>
      </c>
      <c r="K153" s="181">
        <f t="shared" si="29"/>
        <v>600</v>
      </c>
      <c r="L153" s="181">
        <f t="shared" si="30"/>
        <v>650</v>
      </c>
      <c r="M153" s="235">
        <v>33.333333333333336</v>
      </c>
      <c r="N153" s="235">
        <v>33.333333333333336</v>
      </c>
      <c r="O153" s="235">
        <v>33.333333333333336</v>
      </c>
      <c r="P153" s="235">
        <f t="shared" si="31"/>
        <v>616.66666666666674</v>
      </c>
      <c r="Q153" s="235">
        <f t="shared" si="11"/>
        <v>-6</v>
      </c>
      <c r="R153" s="236">
        <f t="shared" si="32"/>
        <v>622.66666666666674</v>
      </c>
    </row>
    <row r="154" spans="1:18" ht="12" customHeight="1">
      <c r="A154" s="207"/>
      <c r="B154" s="277">
        <v>42736</v>
      </c>
      <c r="C154" s="270" t="s">
        <v>378</v>
      </c>
      <c r="D154" s="392">
        <v>600</v>
      </c>
      <c r="E154" s="174">
        <v>600</v>
      </c>
      <c r="F154" s="174">
        <v>600</v>
      </c>
      <c r="G154" s="174">
        <v>-950</v>
      </c>
      <c r="H154" s="174">
        <v>-950</v>
      </c>
      <c r="I154" s="174">
        <v>-950</v>
      </c>
      <c r="J154" s="174">
        <f t="shared" si="28"/>
        <v>-350</v>
      </c>
      <c r="K154" s="174">
        <f t="shared" si="29"/>
        <v>-350</v>
      </c>
      <c r="L154" s="174">
        <f t="shared" si="30"/>
        <v>-350</v>
      </c>
      <c r="M154" s="233">
        <v>33.333333333333336</v>
      </c>
      <c r="N154" s="233">
        <v>33.333333333333336</v>
      </c>
      <c r="O154" s="233">
        <v>33.333333333333336</v>
      </c>
      <c r="P154" s="233">
        <f t="shared" si="31"/>
        <v>-350</v>
      </c>
      <c r="Q154" s="233">
        <f t="shared" si="11"/>
        <v>-6</v>
      </c>
      <c r="R154" s="234">
        <f t="shared" si="32"/>
        <v>-344</v>
      </c>
    </row>
    <row r="155" spans="1:18" s="210" customFormat="1" ht="12" customHeight="1">
      <c r="B155" s="280">
        <v>2</v>
      </c>
      <c r="C155" s="270" t="s">
        <v>306</v>
      </c>
      <c r="D155" s="209">
        <v>600</v>
      </c>
      <c r="E155" s="174">
        <v>600</v>
      </c>
      <c r="F155" s="174">
        <v>600</v>
      </c>
      <c r="G155" s="174">
        <v>-950</v>
      </c>
      <c r="H155" s="174">
        <v>-950</v>
      </c>
      <c r="I155" s="174">
        <v>-950</v>
      </c>
      <c r="J155" s="174">
        <f t="shared" si="28"/>
        <v>-350</v>
      </c>
      <c r="K155" s="174">
        <f t="shared" si="29"/>
        <v>-350</v>
      </c>
      <c r="L155" s="174">
        <f t="shared" si="30"/>
        <v>-350</v>
      </c>
      <c r="M155" s="233">
        <v>33.333333333333336</v>
      </c>
      <c r="N155" s="233">
        <v>33.333333333333336</v>
      </c>
      <c r="O155" s="233">
        <v>33.333333333333336</v>
      </c>
      <c r="P155" s="233">
        <f t="shared" si="31"/>
        <v>-350</v>
      </c>
      <c r="Q155" s="233">
        <f t="shared" si="11"/>
        <v>-6</v>
      </c>
      <c r="R155" s="234">
        <f t="shared" si="32"/>
        <v>-344</v>
      </c>
    </row>
    <row r="156" spans="1:18" ht="12" customHeight="1">
      <c r="B156" s="280">
        <v>3</v>
      </c>
      <c r="C156" s="270" t="s">
        <v>168</v>
      </c>
      <c r="D156" s="209">
        <v>600</v>
      </c>
      <c r="E156" s="174">
        <v>600</v>
      </c>
      <c r="F156" s="174">
        <v>600</v>
      </c>
      <c r="G156" s="174">
        <v>-950</v>
      </c>
      <c r="H156" s="174">
        <v>-950</v>
      </c>
      <c r="I156" s="174">
        <v>-950</v>
      </c>
      <c r="J156" s="174">
        <f t="shared" si="28"/>
        <v>-350</v>
      </c>
      <c r="K156" s="174">
        <f t="shared" si="29"/>
        <v>-350</v>
      </c>
      <c r="L156" s="174">
        <f t="shared" si="30"/>
        <v>-350</v>
      </c>
      <c r="M156" s="233">
        <v>33.333333333333336</v>
      </c>
      <c r="N156" s="233">
        <v>33.333333333333336</v>
      </c>
      <c r="O156" s="233">
        <v>33.333333333333336</v>
      </c>
      <c r="P156" s="233">
        <f t="shared" si="31"/>
        <v>-350</v>
      </c>
      <c r="Q156" s="233">
        <f t="shared" si="11"/>
        <v>-6</v>
      </c>
      <c r="R156" s="234">
        <f t="shared" si="32"/>
        <v>-344</v>
      </c>
    </row>
    <row r="157" spans="1:18" ht="12" customHeight="1">
      <c r="B157" s="280">
        <v>4</v>
      </c>
      <c r="C157" s="270" t="s">
        <v>169</v>
      </c>
      <c r="D157" s="209">
        <v>600</v>
      </c>
      <c r="E157" s="174">
        <v>600</v>
      </c>
      <c r="F157" s="174">
        <v>600</v>
      </c>
      <c r="G157" s="174">
        <v>-1700</v>
      </c>
      <c r="H157" s="174">
        <v>-1700</v>
      </c>
      <c r="I157" s="174">
        <v>-1700</v>
      </c>
      <c r="J157" s="174">
        <f t="shared" ref="J157:J168" si="33">D157+G157</f>
        <v>-1100</v>
      </c>
      <c r="K157" s="174">
        <f t="shared" ref="K157:K168" si="34">E157+H157</f>
        <v>-1100</v>
      </c>
      <c r="L157" s="174">
        <f t="shared" ref="L157:L168" si="35">F157+I157</f>
        <v>-1100</v>
      </c>
      <c r="M157" s="233">
        <v>33.333333333333336</v>
      </c>
      <c r="N157" s="233">
        <v>33.333333333333336</v>
      </c>
      <c r="O157" s="233">
        <v>33.333333333333336</v>
      </c>
      <c r="P157" s="233">
        <f t="shared" ref="P157:P168" si="36">(J157*M157+K157*N157+L157*O157)/100</f>
        <v>-1100.0000000000002</v>
      </c>
      <c r="Q157" s="233">
        <f t="shared" si="11"/>
        <v>-6</v>
      </c>
      <c r="R157" s="234">
        <f t="shared" ref="R157:R168" si="37">P157-Q157</f>
        <v>-1094.0000000000002</v>
      </c>
    </row>
    <row r="158" spans="1:18" ht="12" customHeight="1">
      <c r="B158" s="280">
        <v>5</v>
      </c>
      <c r="C158" s="270" t="s">
        <v>160</v>
      </c>
      <c r="D158" s="209">
        <v>600</v>
      </c>
      <c r="E158" s="174">
        <v>600</v>
      </c>
      <c r="F158" s="174">
        <v>600</v>
      </c>
      <c r="G158" s="174">
        <v>-1700</v>
      </c>
      <c r="H158" s="174">
        <v>-1700</v>
      </c>
      <c r="I158" s="174">
        <v>-1700</v>
      </c>
      <c r="J158" s="174">
        <f t="shared" si="33"/>
        <v>-1100</v>
      </c>
      <c r="K158" s="174">
        <f t="shared" si="34"/>
        <v>-1100</v>
      </c>
      <c r="L158" s="174">
        <f t="shared" si="35"/>
        <v>-1100</v>
      </c>
      <c r="M158" s="233">
        <v>33.333333333333336</v>
      </c>
      <c r="N158" s="233">
        <v>33.333333333333336</v>
      </c>
      <c r="O158" s="233">
        <v>33.333333333333336</v>
      </c>
      <c r="P158" s="233">
        <f t="shared" si="36"/>
        <v>-1100.0000000000002</v>
      </c>
      <c r="Q158" s="233">
        <f t="shared" si="11"/>
        <v>-6</v>
      </c>
      <c r="R158" s="234">
        <f t="shared" si="37"/>
        <v>-1094.0000000000002</v>
      </c>
    </row>
    <row r="159" spans="1:18" ht="12" customHeight="1">
      <c r="B159" s="280">
        <v>6</v>
      </c>
      <c r="C159" s="270" t="s">
        <v>161</v>
      </c>
      <c r="D159" s="209">
        <v>600</v>
      </c>
      <c r="E159" s="174">
        <v>600</v>
      </c>
      <c r="F159" s="174">
        <v>600</v>
      </c>
      <c r="G159" s="174">
        <v>-1700</v>
      </c>
      <c r="H159" s="174">
        <v>-1700</v>
      </c>
      <c r="I159" s="174">
        <v>-1700</v>
      </c>
      <c r="J159" s="174">
        <f t="shared" si="33"/>
        <v>-1100</v>
      </c>
      <c r="K159" s="174">
        <f t="shared" si="34"/>
        <v>-1100</v>
      </c>
      <c r="L159" s="174">
        <f t="shared" si="35"/>
        <v>-1100</v>
      </c>
      <c r="M159" s="233">
        <v>33.333333333333336</v>
      </c>
      <c r="N159" s="233">
        <v>33.333333333333336</v>
      </c>
      <c r="O159" s="233">
        <v>33.333333333333336</v>
      </c>
      <c r="P159" s="233">
        <f t="shared" si="36"/>
        <v>-1100.0000000000002</v>
      </c>
      <c r="Q159" s="233">
        <f t="shared" si="11"/>
        <v>-6</v>
      </c>
      <c r="R159" s="234">
        <f t="shared" si="37"/>
        <v>-1094.0000000000002</v>
      </c>
    </row>
    <row r="160" spans="1:18" ht="12" customHeight="1">
      <c r="B160" s="280">
        <v>7</v>
      </c>
      <c r="C160" s="270" t="s">
        <v>162</v>
      </c>
      <c r="D160" s="209">
        <v>600</v>
      </c>
      <c r="E160" s="174">
        <v>600</v>
      </c>
      <c r="F160" s="174">
        <v>600</v>
      </c>
      <c r="G160" s="174">
        <v>-400</v>
      </c>
      <c r="H160" s="174">
        <v>-400</v>
      </c>
      <c r="I160" s="174">
        <v>-400</v>
      </c>
      <c r="J160" s="174">
        <f t="shared" si="33"/>
        <v>200</v>
      </c>
      <c r="K160" s="174">
        <f t="shared" si="34"/>
        <v>200</v>
      </c>
      <c r="L160" s="174">
        <f t="shared" si="35"/>
        <v>200</v>
      </c>
      <c r="M160" s="233">
        <v>33.333333333333336</v>
      </c>
      <c r="N160" s="233">
        <v>33.333333333333336</v>
      </c>
      <c r="O160" s="233">
        <v>33.333333333333336</v>
      </c>
      <c r="P160" s="233">
        <f t="shared" si="36"/>
        <v>200</v>
      </c>
      <c r="Q160" s="233">
        <f t="shared" si="11"/>
        <v>-6</v>
      </c>
      <c r="R160" s="234">
        <f t="shared" si="37"/>
        <v>206</v>
      </c>
    </row>
    <row r="161" spans="2:18" ht="12" customHeight="1">
      <c r="B161" s="280">
        <v>8</v>
      </c>
      <c r="C161" s="270" t="s">
        <v>163</v>
      </c>
      <c r="D161" s="209">
        <v>600</v>
      </c>
      <c r="E161" s="174">
        <v>600</v>
      </c>
      <c r="F161" s="174">
        <v>600</v>
      </c>
      <c r="G161" s="174">
        <v>-400</v>
      </c>
      <c r="H161" s="174">
        <v>-400</v>
      </c>
      <c r="I161" s="174">
        <v>-400</v>
      </c>
      <c r="J161" s="174">
        <f t="shared" si="33"/>
        <v>200</v>
      </c>
      <c r="K161" s="174">
        <f t="shared" si="34"/>
        <v>200</v>
      </c>
      <c r="L161" s="174">
        <f t="shared" si="35"/>
        <v>200</v>
      </c>
      <c r="M161" s="233">
        <v>33.333333333333336</v>
      </c>
      <c r="N161" s="233">
        <v>33.333333333333336</v>
      </c>
      <c r="O161" s="233">
        <v>33.333333333333336</v>
      </c>
      <c r="P161" s="233">
        <f t="shared" si="36"/>
        <v>200</v>
      </c>
      <c r="Q161" s="233">
        <f t="shared" si="11"/>
        <v>-6</v>
      </c>
      <c r="R161" s="234">
        <f t="shared" si="37"/>
        <v>206</v>
      </c>
    </row>
    <row r="162" spans="2:18" ht="12" customHeight="1">
      <c r="B162" s="280">
        <v>9</v>
      </c>
      <c r="C162" s="270" t="s">
        <v>164</v>
      </c>
      <c r="D162" s="209">
        <v>600</v>
      </c>
      <c r="E162" s="174">
        <v>600</v>
      </c>
      <c r="F162" s="174">
        <v>600</v>
      </c>
      <c r="G162" s="174">
        <v>-400</v>
      </c>
      <c r="H162" s="174">
        <v>-400</v>
      </c>
      <c r="I162" s="174">
        <v>-400</v>
      </c>
      <c r="J162" s="174">
        <f t="shared" si="33"/>
        <v>200</v>
      </c>
      <c r="K162" s="174">
        <f t="shared" si="34"/>
        <v>200</v>
      </c>
      <c r="L162" s="174">
        <f t="shared" si="35"/>
        <v>200</v>
      </c>
      <c r="M162" s="233">
        <v>33.333333333333336</v>
      </c>
      <c r="N162" s="233">
        <v>33.333333333333336</v>
      </c>
      <c r="O162" s="233">
        <v>33.333333333333336</v>
      </c>
      <c r="P162" s="233">
        <f t="shared" si="36"/>
        <v>200</v>
      </c>
      <c r="Q162" s="233">
        <f t="shared" si="11"/>
        <v>-6</v>
      </c>
      <c r="R162" s="234">
        <f t="shared" si="37"/>
        <v>206</v>
      </c>
    </row>
    <row r="163" spans="2:18" ht="12" customHeight="1">
      <c r="B163" s="280">
        <v>10</v>
      </c>
      <c r="C163" s="270" t="s">
        <v>165</v>
      </c>
      <c r="D163" s="209">
        <v>600</v>
      </c>
      <c r="E163" s="174">
        <v>600</v>
      </c>
      <c r="F163" s="174">
        <v>600</v>
      </c>
      <c r="G163" s="174">
        <v>0</v>
      </c>
      <c r="H163" s="174">
        <v>0</v>
      </c>
      <c r="I163" s="174">
        <v>0</v>
      </c>
      <c r="J163" s="174">
        <f t="shared" si="33"/>
        <v>600</v>
      </c>
      <c r="K163" s="174">
        <f t="shared" si="34"/>
        <v>600</v>
      </c>
      <c r="L163" s="174">
        <f t="shared" si="35"/>
        <v>600</v>
      </c>
      <c r="M163" s="233">
        <v>33.333333333333336</v>
      </c>
      <c r="N163" s="233">
        <v>33.333333333333336</v>
      </c>
      <c r="O163" s="233">
        <v>33.333333333333336</v>
      </c>
      <c r="P163" s="233">
        <f t="shared" si="36"/>
        <v>600</v>
      </c>
      <c r="Q163" s="233">
        <f t="shared" si="11"/>
        <v>-6</v>
      </c>
      <c r="R163" s="234">
        <f t="shared" si="37"/>
        <v>606</v>
      </c>
    </row>
    <row r="164" spans="2:18" ht="12" customHeight="1">
      <c r="B164" s="280">
        <v>11</v>
      </c>
      <c r="C164" s="270" t="s">
        <v>166</v>
      </c>
      <c r="D164" s="209">
        <v>600</v>
      </c>
      <c r="E164" s="174">
        <v>600</v>
      </c>
      <c r="F164" s="174">
        <v>600</v>
      </c>
      <c r="G164" s="174">
        <v>0</v>
      </c>
      <c r="H164" s="174">
        <v>0</v>
      </c>
      <c r="I164" s="174">
        <v>0</v>
      </c>
      <c r="J164" s="174">
        <f t="shared" si="33"/>
        <v>600</v>
      </c>
      <c r="K164" s="174">
        <f t="shared" si="34"/>
        <v>600</v>
      </c>
      <c r="L164" s="174">
        <f t="shared" si="35"/>
        <v>600</v>
      </c>
      <c r="M164" s="233">
        <v>33.333333333333336</v>
      </c>
      <c r="N164" s="233">
        <v>33.333333333333336</v>
      </c>
      <c r="O164" s="233">
        <v>33.333333333333336</v>
      </c>
      <c r="P164" s="233">
        <f t="shared" si="36"/>
        <v>600</v>
      </c>
      <c r="Q164" s="233">
        <f t="shared" si="11"/>
        <v>-6</v>
      </c>
      <c r="R164" s="234">
        <f t="shared" si="37"/>
        <v>606</v>
      </c>
    </row>
    <row r="165" spans="2:18" ht="12" customHeight="1">
      <c r="B165" s="454">
        <v>12</v>
      </c>
      <c r="C165" s="270" t="s">
        <v>167</v>
      </c>
      <c r="D165" s="455">
        <v>600</v>
      </c>
      <c r="E165" s="174">
        <v>600</v>
      </c>
      <c r="F165" s="174">
        <v>600</v>
      </c>
      <c r="G165" s="174">
        <v>0</v>
      </c>
      <c r="H165" s="174">
        <v>0</v>
      </c>
      <c r="I165" s="174">
        <v>0</v>
      </c>
      <c r="J165" s="174">
        <f t="shared" si="33"/>
        <v>600</v>
      </c>
      <c r="K165" s="174">
        <f t="shared" si="34"/>
        <v>600</v>
      </c>
      <c r="L165" s="174">
        <f t="shared" si="35"/>
        <v>600</v>
      </c>
      <c r="M165" s="233">
        <v>33.333333333333336</v>
      </c>
      <c r="N165" s="233">
        <v>33.333333333333336</v>
      </c>
      <c r="O165" s="233">
        <v>33.333333333333336</v>
      </c>
      <c r="P165" s="233">
        <f t="shared" si="36"/>
        <v>600</v>
      </c>
      <c r="Q165" s="233">
        <f t="shared" si="11"/>
        <v>-6</v>
      </c>
      <c r="R165" s="234">
        <f t="shared" si="37"/>
        <v>606</v>
      </c>
    </row>
    <row r="166" spans="2:18" ht="12" customHeight="1">
      <c r="B166" s="275">
        <v>43101</v>
      </c>
      <c r="C166" s="272" t="s">
        <v>387</v>
      </c>
      <c r="D166" s="237">
        <v>600</v>
      </c>
      <c r="E166" s="177">
        <v>600</v>
      </c>
      <c r="F166" s="177">
        <v>600</v>
      </c>
      <c r="G166" s="177">
        <v>0</v>
      </c>
      <c r="H166" s="177">
        <v>0</v>
      </c>
      <c r="I166" s="177">
        <v>0</v>
      </c>
      <c r="J166" s="177">
        <f t="shared" si="33"/>
        <v>600</v>
      </c>
      <c r="K166" s="177">
        <f t="shared" si="34"/>
        <v>600</v>
      </c>
      <c r="L166" s="177">
        <f t="shared" si="35"/>
        <v>600</v>
      </c>
      <c r="M166" s="239">
        <v>33.333333333333336</v>
      </c>
      <c r="N166" s="239">
        <v>33.333333333333336</v>
      </c>
      <c r="O166" s="239">
        <v>33.333333333333336</v>
      </c>
      <c r="P166" s="239">
        <f t="shared" si="36"/>
        <v>600</v>
      </c>
      <c r="Q166" s="239">
        <f t="shared" si="11"/>
        <v>-6</v>
      </c>
      <c r="R166" s="240">
        <f t="shared" si="37"/>
        <v>606</v>
      </c>
    </row>
    <row r="167" spans="2:18" ht="12" customHeight="1">
      <c r="B167" s="454">
        <v>2</v>
      </c>
      <c r="C167" s="270" t="s">
        <v>306</v>
      </c>
      <c r="D167" s="209">
        <v>600</v>
      </c>
      <c r="E167" s="174">
        <v>600</v>
      </c>
      <c r="F167" s="174">
        <v>600</v>
      </c>
      <c r="G167" s="174">
        <v>0</v>
      </c>
      <c r="H167" s="174">
        <v>0</v>
      </c>
      <c r="I167" s="174">
        <v>0</v>
      </c>
      <c r="J167" s="174">
        <f t="shared" si="33"/>
        <v>600</v>
      </c>
      <c r="K167" s="174">
        <f t="shared" si="34"/>
        <v>600</v>
      </c>
      <c r="L167" s="174">
        <f t="shared" si="35"/>
        <v>600</v>
      </c>
      <c r="M167" s="233">
        <v>33.333333333333336</v>
      </c>
      <c r="N167" s="233">
        <v>33.333333333333336</v>
      </c>
      <c r="O167" s="233">
        <v>33.333333333333336</v>
      </c>
      <c r="P167" s="233">
        <f t="shared" si="36"/>
        <v>600</v>
      </c>
      <c r="Q167" s="233">
        <f t="shared" si="11"/>
        <v>-6</v>
      </c>
      <c r="R167" s="234">
        <f t="shared" si="37"/>
        <v>606</v>
      </c>
    </row>
    <row r="168" spans="2:18" ht="12" customHeight="1">
      <c r="B168" s="280">
        <v>3</v>
      </c>
      <c r="C168" s="270" t="s">
        <v>168</v>
      </c>
      <c r="D168" s="209">
        <v>600</v>
      </c>
      <c r="E168" s="174">
        <v>600</v>
      </c>
      <c r="F168" s="174">
        <v>600</v>
      </c>
      <c r="G168" s="174">
        <v>0</v>
      </c>
      <c r="H168" s="174">
        <v>0</v>
      </c>
      <c r="I168" s="174">
        <v>0</v>
      </c>
      <c r="J168" s="174">
        <f t="shared" si="33"/>
        <v>600</v>
      </c>
      <c r="K168" s="174">
        <f t="shared" si="34"/>
        <v>600</v>
      </c>
      <c r="L168" s="174">
        <f t="shared" si="35"/>
        <v>600</v>
      </c>
      <c r="M168" s="233">
        <v>33.333333333333336</v>
      </c>
      <c r="N168" s="233">
        <v>33.333333333333336</v>
      </c>
      <c r="O168" s="233">
        <v>33.333333333333336</v>
      </c>
      <c r="P168" s="233">
        <f t="shared" si="36"/>
        <v>600</v>
      </c>
      <c r="Q168" s="233">
        <f t="shared" si="11"/>
        <v>-6</v>
      </c>
      <c r="R168" s="234">
        <f t="shared" si="37"/>
        <v>606</v>
      </c>
    </row>
    <row r="169" spans="2:18" ht="12" customHeight="1">
      <c r="B169" s="280">
        <v>4</v>
      </c>
      <c r="C169" s="270" t="s">
        <v>169</v>
      </c>
      <c r="D169" s="209">
        <v>600</v>
      </c>
      <c r="E169" s="174">
        <v>600</v>
      </c>
      <c r="F169" s="174">
        <v>600</v>
      </c>
      <c r="G169" s="174">
        <v>-300</v>
      </c>
      <c r="H169" s="174">
        <v>-300</v>
      </c>
      <c r="I169" s="174">
        <v>-300</v>
      </c>
      <c r="J169" s="174">
        <f t="shared" ref="J169:J180" si="38">D169+G169</f>
        <v>300</v>
      </c>
      <c r="K169" s="174">
        <f t="shared" ref="K169:K180" si="39">E169+H169</f>
        <v>300</v>
      </c>
      <c r="L169" s="174">
        <f t="shared" ref="L169:L180" si="40">F169+I169</f>
        <v>300</v>
      </c>
      <c r="M169" s="233">
        <v>33.333333333333336</v>
      </c>
      <c r="N169" s="233">
        <v>33.333333333333336</v>
      </c>
      <c r="O169" s="233">
        <v>33.333333333333336</v>
      </c>
      <c r="P169" s="233">
        <f t="shared" ref="P169:P180" si="41">(J169*M169+K169*N169+L169*O169)/100</f>
        <v>300</v>
      </c>
      <c r="Q169" s="233">
        <f t="shared" si="11"/>
        <v>-6</v>
      </c>
      <c r="R169" s="234">
        <f t="shared" ref="R169:R180" si="42">P169-Q169</f>
        <v>306</v>
      </c>
    </row>
    <row r="170" spans="2:18" ht="12" customHeight="1">
      <c r="B170" s="280">
        <v>5</v>
      </c>
      <c r="C170" s="270" t="s">
        <v>160</v>
      </c>
      <c r="D170" s="209">
        <v>600</v>
      </c>
      <c r="E170" s="174">
        <v>600</v>
      </c>
      <c r="F170" s="174">
        <v>600</v>
      </c>
      <c r="G170" s="174">
        <v>-300</v>
      </c>
      <c r="H170" s="174">
        <v>-300</v>
      </c>
      <c r="I170" s="174">
        <v>-300</v>
      </c>
      <c r="J170" s="174">
        <f t="shared" si="38"/>
        <v>300</v>
      </c>
      <c r="K170" s="174">
        <f t="shared" si="39"/>
        <v>300</v>
      </c>
      <c r="L170" s="174">
        <f t="shared" si="40"/>
        <v>300</v>
      </c>
      <c r="M170" s="233">
        <v>33.333333333333336</v>
      </c>
      <c r="N170" s="233">
        <v>33.333333333333336</v>
      </c>
      <c r="O170" s="233">
        <v>33.333333333333336</v>
      </c>
      <c r="P170" s="233">
        <f t="shared" si="41"/>
        <v>300</v>
      </c>
      <c r="Q170" s="233">
        <f t="shared" si="11"/>
        <v>-6</v>
      </c>
      <c r="R170" s="234">
        <f t="shared" si="42"/>
        <v>306</v>
      </c>
    </row>
    <row r="171" spans="2:18" ht="12" customHeight="1">
      <c r="B171" s="280">
        <v>6</v>
      </c>
      <c r="C171" s="270" t="s">
        <v>161</v>
      </c>
      <c r="D171" s="209">
        <v>600</v>
      </c>
      <c r="E171" s="174">
        <v>600</v>
      </c>
      <c r="F171" s="174">
        <v>600</v>
      </c>
      <c r="G171" s="174">
        <v>-300</v>
      </c>
      <c r="H171" s="174">
        <v>-300</v>
      </c>
      <c r="I171" s="174">
        <v>-300</v>
      </c>
      <c r="J171" s="174">
        <f t="shared" si="38"/>
        <v>300</v>
      </c>
      <c r="K171" s="174">
        <f t="shared" si="39"/>
        <v>300</v>
      </c>
      <c r="L171" s="174">
        <f t="shared" si="40"/>
        <v>300</v>
      </c>
      <c r="M171" s="233">
        <v>33.333333333333336</v>
      </c>
      <c r="N171" s="233">
        <v>33.333333333333336</v>
      </c>
      <c r="O171" s="233">
        <v>33.333333333333336</v>
      </c>
      <c r="P171" s="233">
        <f t="shared" si="41"/>
        <v>300</v>
      </c>
      <c r="Q171" s="233">
        <f t="shared" si="11"/>
        <v>-6</v>
      </c>
      <c r="R171" s="234">
        <f t="shared" si="42"/>
        <v>306</v>
      </c>
    </row>
    <row r="172" spans="2:18" ht="12" customHeight="1">
      <c r="B172" s="280">
        <v>7</v>
      </c>
      <c r="C172" s="270" t="s">
        <v>162</v>
      </c>
      <c r="D172" s="209">
        <v>600</v>
      </c>
      <c r="E172" s="174">
        <v>600</v>
      </c>
      <c r="F172" s="174">
        <v>600</v>
      </c>
      <c r="G172" s="174">
        <v>-3450</v>
      </c>
      <c r="H172" s="174">
        <v>-3450</v>
      </c>
      <c r="I172" s="174">
        <v>-3450</v>
      </c>
      <c r="J172" s="174">
        <f t="shared" si="38"/>
        <v>-2850</v>
      </c>
      <c r="K172" s="174">
        <f t="shared" si="39"/>
        <v>-2850</v>
      </c>
      <c r="L172" s="174">
        <f t="shared" si="40"/>
        <v>-2850</v>
      </c>
      <c r="M172" s="233">
        <v>33.333333333333336</v>
      </c>
      <c r="N172" s="233">
        <v>33.333333333333336</v>
      </c>
      <c r="O172" s="233">
        <v>33.333333333333336</v>
      </c>
      <c r="P172" s="233">
        <f t="shared" si="41"/>
        <v>-2850</v>
      </c>
      <c r="Q172" s="233">
        <f t="shared" si="11"/>
        <v>-6</v>
      </c>
      <c r="R172" s="234">
        <f t="shared" si="42"/>
        <v>-2844</v>
      </c>
    </row>
    <row r="173" spans="2:18" ht="12" customHeight="1">
      <c r="B173" s="280">
        <v>8</v>
      </c>
      <c r="C173" s="270" t="s">
        <v>163</v>
      </c>
      <c r="D173" s="209">
        <v>600</v>
      </c>
      <c r="E173" s="174">
        <v>600</v>
      </c>
      <c r="F173" s="174">
        <v>600</v>
      </c>
      <c r="G173" s="174">
        <v>-3450</v>
      </c>
      <c r="H173" s="174">
        <v>-3450</v>
      </c>
      <c r="I173" s="174">
        <v>-3450</v>
      </c>
      <c r="J173" s="174">
        <f t="shared" si="38"/>
        <v>-2850</v>
      </c>
      <c r="K173" s="174">
        <f t="shared" si="39"/>
        <v>-2850</v>
      </c>
      <c r="L173" s="174">
        <f t="shared" si="40"/>
        <v>-2850</v>
      </c>
      <c r="M173" s="233">
        <v>33.333333333333336</v>
      </c>
      <c r="N173" s="233">
        <v>33.333333333333336</v>
      </c>
      <c r="O173" s="233">
        <v>33.333333333333336</v>
      </c>
      <c r="P173" s="233">
        <f t="shared" si="41"/>
        <v>-2850</v>
      </c>
      <c r="Q173" s="233">
        <f t="shared" si="11"/>
        <v>-6</v>
      </c>
      <c r="R173" s="234">
        <f t="shared" si="42"/>
        <v>-2844</v>
      </c>
    </row>
    <row r="174" spans="2:18" ht="12" customHeight="1">
      <c r="B174" s="280">
        <v>9</v>
      </c>
      <c r="C174" s="270" t="s">
        <v>164</v>
      </c>
      <c r="D174" s="209">
        <v>600</v>
      </c>
      <c r="E174" s="174">
        <v>600</v>
      </c>
      <c r="F174" s="174">
        <v>600</v>
      </c>
      <c r="G174" s="174">
        <v>-3450</v>
      </c>
      <c r="H174" s="174">
        <v>-3450</v>
      </c>
      <c r="I174" s="174">
        <v>-3450</v>
      </c>
      <c r="J174" s="174">
        <f t="shared" si="38"/>
        <v>-2850</v>
      </c>
      <c r="K174" s="174">
        <f t="shared" si="39"/>
        <v>-2850</v>
      </c>
      <c r="L174" s="174">
        <f t="shared" si="40"/>
        <v>-2850</v>
      </c>
      <c r="M174" s="233">
        <v>33.333333333333336</v>
      </c>
      <c r="N174" s="233">
        <v>33.333333333333336</v>
      </c>
      <c r="O174" s="233">
        <v>33.333333333333336</v>
      </c>
      <c r="P174" s="233">
        <f t="shared" si="41"/>
        <v>-2850</v>
      </c>
      <c r="Q174" s="233">
        <f t="shared" si="11"/>
        <v>-6</v>
      </c>
      <c r="R174" s="234">
        <f t="shared" si="42"/>
        <v>-2844</v>
      </c>
    </row>
    <row r="175" spans="2:18" ht="12" customHeight="1">
      <c r="B175" s="280">
        <v>10</v>
      </c>
      <c r="C175" s="270" t="s">
        <v>165</v>
      </c>
      <c r="D175" s="209">
        <v>600</v>
      </c>
      <c r="E175" s="174">
        <v>600</v>
      </c>
      <c r="F175" s="174">
        <v>600</v>
      </c>
      <c r="G175" s="174">
        <v>-2300</v>
      </c>
      <c r="H175" s="174">
        <v>-2300</v>
      </c>
      <c r="I175" s="174">
        <v>-2300</v>
      </c>
      <c r="J175" s="174">
        <f t="shared" si="38"/>
        <v>-1700</v>
      </c>
      <c r="K175" s="174">
        <f t="shared" si="39"/>
        <v>-1700</v>
      </c>
      <c r="L175" s="174">
        <f t="shared" si="40"/>
        <v>-1700</v>
      </c>
      <c r="M175" s="233">
        <v>33.333333333333336</v>
      </c>
      <c r="N175" s="233">
        <v>33.333333333333336</v>
      </c>
      <c r="O175" s="233">
        <v>33.333333333333336</v>
      </c>
      <c r="P175" s="233">
        <f t="shared" si="41"/>
        <v>-1700</v>
      </c>
      <c r="Q175" s="233">
        <f t="shared" si="11"/>
        <v>-6</v>
      </c>
      <c r="R175" s="234">
        <f t="shared" si="42"/>
        <v>-1694</v>
      </c>
    </row>
    <row r="176" spans="2:18" ht="12" customHeight="1">
      <c r="B176" s="280">
        <v>11</v>
      </c>
      <c r="C176" s="270" t="s">
        <v>166</v>
      </c>
      <c r="D176" s="209">
        <v>600</v>
      </c>
      <c r="E176" s="174">
        <v>600</v>
      </c>
      <c r="F176" s="174">
        <v>600</v>
      </c>
      <c r="G176" s="174">
        <v>-2300</v>
      </c>
      <c r="H176" s="174">
        <v>-2300</v>
      </c>
      <c r="I176" s="174">
        <v>-2300</v>
      </c>
      <c r="J176" s="174">
        <f t="shared" si="38"/>
        <v>-1700</v>
      </c>
      <c r="K176" s="174">
        <f t="shared" si="39"/>
        <v>-1700</v>
      </c>
      <c r="L176" s="174">
        <f t="shared" si="40"/>
        <v>-1700</v>
      </c>
      <c r="M176" s="233">
        <v>33.333333333333336</v>
      </c>
      <c r="N176" s="233">
        <v>33.333333333333336</v>
      </c>
      <c r="O176" s="233">
        <v>33.333333333333336</v>
      </c>
      <c r="P176" s="233">
        <f t="shared" si="41"/>
        <v>-1700</v>
      </c>
      <c r="Q176" s="233">
        <f t="shared" si="11"/>
        <v>-6</v>
      </c>
      <c r="R176" s="234">
        <f t="shared" si="42"/>
        <v>-1694</v>
      </c>
    </row>
    <row r="177" spans="2:18" ht="12" customHeight="1">
      <c r="B177" s="454">
        <v>12</v>
      </c>
      <c r="C177" s="270" t="s">
        <v>167</v>
      </c>
      <c r="D177" s="455">
        <v>600</v>
      </c>
      <c r="E177" s="174">
        <v>600</v>
      </c>
      <c r="F177" s="174">
        <v>600</v>
      </c>
      <c r="G177" s="174">
        <v>-2300</v>
      </c>
      <c r="H177" s="174">
        <v>-2300</v>
      </c>
      <c r="I177" s="174">
        <v>-2300</v>
      </c>
      <c r="J177" s="174">
        <f t="shared" si="38"/>
        <v>-1700</v>
      </c>
      <c r="K177" s="174">
        <f t="shared" si="39"/>
        <v>-1700</v>
      </c>
      <c r="L177" s="174">
        <f t="shared" si="40"/>
        <v>-1700</v>
      </c>
      <c r="M177" s="233">
        <v>33.333333333333336</v>
      </c>
      <c r="N177" s="233">
        <v>33.333333333333336</v>
      </c>
      <c r="O177" s="233">
        <v>33.333333333333336</v>
      </c>
      <c r="P177" s="233">
        <f t="shared" si="41"/>
        <v>-1700</v>
      </c>
      <c r="Q177" s="233">
        <f t="shared" si="11"/>
        <v>-6</v>
      </c>
      <c r="R177" s="234">
        <f t="shared" si="42"/>
        <v>-1694</v>
      </c>
    </row>
    <row r="178" spans="2:18" ht="12" customHeight="1">
      <c r="B178" s="439" t="s">
        <v>388</v>
      </c>
      <c r="C178" s="264" t="s">
        <v>389</v>
      </c>
      <c r="D178" s="237">
        <v>600</v>
      </c>
      <c r="E178" s="177">
        <v>600</v>
      </c>
      <c r="F178" s="177">
        <v>600</v>
      </c>
      <c r="G178" s="177">
        <v>-300</v>
      </c>
      <c r="H178" s="177">
        <v>-300</v>
      </c>
      <c r="I178" s="177">
        <v>-300</v>
      </c>
      <c r="J178" s="177">
        <f t="shared" si="38"/>
        <v>300</v>
      </c>
      <c r="K178" s="177">
        <f t="shared" si="39"/>
        <v>300</v>
      </c>
      <c r="L178" s="177">
        <f t="shared" si="40"/>
        <v>300</v>
      </c>
      <c r="M178" s="239">
        <v>33.333333333333336</v>
      </c>
      <c r="N178" s="239">
        <v>33.333333333333336</v>
      </c>
      <c r="O178" s="239">
        <v>33.333333333333336</v>
      </c>
      <c r="P178" s="239">
        <f t="shared" si="41"/>
        <v>300</v>
      </c>
      <c r="Q178" s="239">
        <f t="shared" si="11"/>
        <v>-6</v>
      </c>
      <c r="R178" s="240">
        <f t="shared" si="42"/>
        <v>306</v>
      </c>
    </row>
    <row r="179" spans="2:18" ht="12" customHeight="1">
      <c r="B179" s="531" t="s">
        <v>390</v>
      </c>
      <c r="C179" s="262" t="s">
        <v>390</v>
      </c>
      <c r="D179" s="455">
        <v>600</v>
      </c>
      <c r="E179" s="174">
        <v>600</v>
      </c>
      <c r="F179" s="174">
        <v>600</v>
      </c>
      <c r="G179" s="174">
        <v>-300</v>
      </c>
      <c r="H179" s="174">
        <v>-300</v>
      </c>
      <c r="I179" s="174">
        <v>-300</v>
      </c>
      <c r="J179" s="174">
        <f t="shared" si="38"/>
        <v>300</v>
      </c>
      <c r="K179" s="174">
        <f t="shared" si="39"/>
        <v>300</v>
      </c>
      <c r="L179" s="174">
        <f t="shared" si="40"/>
        <v>300</v>
      </c>
      <c r="M179" s="233">
        <v>33.333333333333336</v>
      </c>
      <c r="N179" s="233">
        <v>33.333333333333336</v>
      </c>
      <c r="O179" s="233">
        <v>33.333333333333336</v>
      </c>
      <c r="P179" s="233">
        <f t="shared" si="41"/>
        <v>300</v>
      </c>
      <c r="Q179" s="233">
        <f t="shared" si="11"/>
        <v>-6</v>
      </c>
      <c r="R179" s="234">
        <f t="shared" si="42"/>
        <v>306</v>
      </c>
    </row>
    <row r="180" spans="2:18" ht="12" customHeight="1">
      <c r="B180" s="531" t="s">
        <v>168</v>
      </c>
      <c r="C180" s="262" t="s">
        <v>168</v>
      </c>
      <c r="D180" s="455">
        <v>600</v>
      </c>
      <c r="E180" s="174">
        <v>600</v>
      </c>
      <c r="F180" s="174">
        <v>600</v>
      </c>
      <c r="G180" s="174">
        <v>-300</v>
      </c>
      <c r="H180" s="174">
        <v>-300</v>
      </c>
      <c r="I180" s="174">
        <v>-300</v>
      </c>
      <c r="J180" s="174">
        <f t="shared" si="38"/>
        <v>300</v>
      </c>
      <c r="K180" s="174">
        <f t="shared" si="39"/>
        <v>300</v>
      </c>
      <c r="L180" s="174">
        <f t="shared" si="40"/>
        <v>300</v>
      </c>
      <c r="M180" s="233">
        <v>33.333333333333336</v>
      </c>
      <c r="N180" s="233">
        <v>33.333333333333336</v>
      </c>
      <c r="O180" s="233">
        <v>33.333333333333336</v>
      </c>
      <c r="P180" s="233">
        <f t="shared" si="41"/>
        <v>300</v>
      </c>
      <c r="Q180" s="233">
        <f t="shared" si="11"/>
        <v>-6</v>
      </c>
      <c r="R180" s="234">
        <f t="shared" si="42"/>
        <v>306</v>
      </c>
    </row>
    <row r="181" spans="2:18" ht="12" customHeight="1">
      <c r="B181" s="531" t="s">
        <v>391</v>
      </c>
      <c r="C181" s="262" t="s">
        <v>391</v>
      </c>
      <c r="D181" s="455">
        <v>500</v>
      </c>
      <c r="E181" s="174">
        <v>500</v>
      </c>
      <c r="F181" s="174">
        <v>500</v>
      </c>
      <c r="G181" s="174">
        <v>0</v>
      </c>
      <c r="H181" s="174">
        <v>0</v>
      </c>
      <c r="I181" s="174">
        <v>0</v>
      </c>
      <c r="J181" s="174">
        <f t="shared" ref="J181:J192" si="43">D181+G181</f>
        <v>500</v>
      </c>
      <c r="K181" s="174">
        <f t="shared" ref="K181:K192" si="44">E181+H181</f>
        <v>500</v>
      </c>
      <c r="L181" s="174">
        <f t="shared" ref="L181:L192" si="45">F181+I181</f>
        <v>500</v>
      </c>
      <c r="M181" s="233">
        <v>33.333333333333336</v>
      </c>
      <c r="N181" s="233">
        <v>33.333333333333336</v>
      </c>
      <c r="O181" s="233">
        <v>33.333333333333336</v>
      </c>
      <c r="P181" s="233">
        <f t="shared" ref="P181:P192" si="46">(J181*M181+K181*N181+L181*O181)/100</f>
        <v>500</v>
      </c>
      <c r="Q181" s="233">
        <f t="shared" si="11"/>
        <v>-6</v>
      </c>
      <c r="R181" s="234">
        <f t="shared" ref="R181:R192" si="47">P181-Q181</f>
        <v>506</v>
      </c>
    </row>
    <row r="182" spans="2:18" ht="12" customHeight="1">
      <c r="B182" s="531" t="s">
        <v>160</v>
      </c>
      <c r="C182" s="262" t="s">
        <v>392</v>
      </c>
      <c r="D182" s="455">
        <v>500</v>
      </c>
      <c r="E182" s="174">
        <v>500</v>
      </c>
      <c r="F182" s="174">
        <v>500</v>
      </c>
      <c r="G182" s="174">
        <v>0</v>
      </c>
      <c r="H182" s="174">
        <v>0</v>
      </c>
      <c r="I182" s="174">
        <v>0</v>
      </c>
      <c r="J182" s="174">
        <f t="shared" si="43"/>
        <v>500</v>
      </c>
      <c r="K182" s="174">
        <f t="shared" si="44"/>
        <v>500</v>
      </c>
      <c r="L182" s="174">
        <f t="shared" si="45"/>
        <v>500</v>
      </c>
      <c r="M182" s="233">
        <v>33.333333333333336</v>
      </c>
      <c r="N182" s="233">
        <v>33.333333333333336</v>
      </c>
      <c r="O182" s="233">
        <v>33.333333333333336</v>
      </c>
      <c r="P182" s="233">
        <f t="shared" si="46"/>
        <v>500</v>
      </c>
      <c r="Q182" s="233">
        <f t="shared" ref="Q182:Q245" si="48">$J$269</f>
        <v>-6</v>
      </c>
      <c r="R182" s="234">
        <f t="shared" si="47"/>
        <v>506</v>
      </c>
    </row>
    <row r="183" spans="2:18" ht="12" customHeight="1">
      <c r="B183" s="531" t="s">
        <v>161</v>
      </c>
      <c r="C183" s="262" t="s">
        <v>161</v>
      </c>
      <c r="D183" s="455">
        <v>500</v>
      </c>
      <c r="E183" s="174">
        <v>500</v>
      </c>
      <c r="F183" s="174">
        <v>500</v>
      </c>
      <c r="G183" s="174">
        <v>0</v>
      </c>
      <c r="H183" s="174">
        <v>0</v>
      </c>
      <c r="I183" s="174">
        <v>0</v>
      </c>
      <c r="J183" s="174">
        <f t="shared" si="43"/>
        <v>500</v>
      </c>
      <c r="K183" s="174">
        <f t="shared" si="44"/>
        <v>500</v>
      </c>
      <c r="L183" s="174">
        <f t="shared" si="45"/>
        <v>500</v>
      </c>
      <c r="M183" s="233">
        <v>33.333333333333336</v>
      </c>
      <c r="N183" s="233">
        <v>33.333333333333336</v>
      </c>
      <c r="O183" s="233">
        <v>33.333333333333336</v>
      </c>
      <c r="P183" s="233">
        <f t="shared" si="46"/>
        <v>500</v>
      </c>
      <c r="Q183" s="233">
        <f t="shared" si="48"/>
        <v>-6</v>
      </c>
      <c r="R183" s="234">
        <f t="shared" si="47"/>
        <v>506</v>
      </c>
    </row>
    <row r="184" spans="2:18" ht="12" customHeight="1">
      <c r="B184" s="531" t="s">
        <v>393</v>
      </c>
      <c r="C184" s="262" t="s">
        <v>393</v>
      </c>
      <c r="D184" s="455">
        <v>500</v>
      </c>
      <c r="E184" s="174">
        <v>500</v>
      </c>
      <c r="F184" s="174">
        <v>500</v>
      </c>
      <c r="G184" s="174">
        <v>0</v>
      </c>
      <c r="H184" s="174">
        <v>0</v>
      </c>
      <c r="I184" s="174">
        <v>0</v>
      </c>
      <c r="J184" s="174">
        <f t="shared" si="43"/>
        <v>500</v>
      </c>
      <c r="K184" s="174">
        <f t="shared" si="44"/>
        <v>500</v>
      </c>
      <c r="L184" s="174">
        <f t="shared" si="45"/>
        <v>500</v>
      </c>
      <c r="M184" s="233">
        <v>33.333333333333336</v>
      </c>
      <c r="N184" s="233">
        <v>33.333333333333336</v>
      </c>
      <c r="O184" s="233">
        <v>33.333333333333336</v>
      </c>
      <c r="P184" s="233">
        <f t="shared" si="46"/>
        <v>500</v>
      </c>
      <c r="Q184" s="233">
        <f t="shared" si="48"/>
        <v>-6</v>
      </c>
      <c r="R184" s="234">
        <f t="shared" si="47"/>
        <v>506</v>
      </c>
    </row>
    <row r="185" spans="2:18" ht="12" customHeight="1">
      <c r="B185" s="531" t="s">
        <v>394</v>
      </c>
      <c r="C185" s="262" t="s">
        <v>394</v>
      </c>
      <c r="D185" s="455">
        <v>500</v>
      </c>
      <c r="E185" s="174">
        <v>500</v>
      </c>
      <c r="F185" s="174">
        <v>500</v>
      </c>
      <c r="G185" s="174">
        <v>0</v>
      </c>
      <c r="H185" s="174">
        <v>0</v>
      </c>
      <c r="I185" s="174">
        <v>0</v>
      </c>
      <c r="J185" s="174">
        <f t="shared" si="43"/>
        <v>500</v>
      </c>
      <c r="K185" s="174">
        <f t="shared" si="44"/>
        <v>500</v>
      </c>
      <c r="L185" s="174">
        <f t="shared" si="45"/>
        <v>500</v>
      </c>
      <c r="M185" s="233">
        <v>33.333333333333336</v>
      </c>
      <c r="N185" s="233">
        <v>33.333333333333336</v>
      </c>
      <c r="O185" s="233">
        <v>33.333333333333336</v>
      </c>
      <c r="P185" s="233">
        <f t="shared" si="46"/>
        <v>500</v>
      </c>
      <c r="Q185" s="233">
        <f t="shared" si="48"/>
        <v>-6</v>
      </c>
      <c r="R185" s="234">
        <f t="shared" si="47"/>
        <v>506</v>
      </c>
    </row>
    <row r="186" spans="2:18" ht="12" customHeight="1">
      <c r="B186" s="531" t="s">
        <v>164</v>
      </c>
      <c r="C186" s="262" t="s">
        <v>164</v>
      </c>
      <c r="D186" s="455">
        <v>500</v>
      </c>
      <c r="E186" s="174">
        <v>500</v>
      </c>
      <c r="F186" s="174">
        <v>500</v>
      </c>
      <c r="G186" s="174">
        <v>0</v>
      </c>
      <c r="H186" s="174">
        <v>0</v>
      </c>
      <c r="I186" s="174">
        <v>0</v>
      </c>
      <c r="J186" s="174">
        <f t="shared" si="43"/>
        <v>500</v>
      </c>
      <c r="K186" s="174">
        <f t="shared" si="44"/>
        <v>500</v>
      </c>
      <c r="L186" s="174">
        <f t="shared" si="45"/>
        <v>500</v>
      </c>
      <c r="M186" s="233">
        <v>33.333333333333336</v>
      </c>
      <c r="N186" s="233">
        <v>33.333333333333336</v>
      </c>
      <c r="O186" s="233">
        <v>33.333333333333336</v>
      </c>
      <c r="P186" s="233">
        <f t="shared" si="46"/>
        <v>500</v>
      </c>
      <c r="Q186" s="233">
        <f t="shared" si="48"/>
        <v>-6</v>
      </c>
      <c r="R186" s="234">
        <f t="shared" si="47"/>
        <v>506</v>
      </c>
    </row>
    <row r="187" spans="2:18" ht="12" customHeight="1">
      <c r="B187" s="531" t="s">
        <v>165</v>
      </c>
      <c r="C187" s="262" t="s">
        <v>165</v>
      </c>
      <c r="D187" s="455">
        <v>500</v>
      </c>
      <c r="E187" s="174">
        <v>500</v>
      </c>
      <c r="F187" s="174">
        <v>500</v>
      </c>
      <c r="G187" s="174">
        <v>0</v>
      </c>
      <c r="H187" s="174">
        <v>0</v>
      </c>
      <c r="I187" s="174">
        <v>0</v>
      </c>
      <c r="J187" s="174">
        <f t="shared" si="43"/>
        <v>500</v>
      </c>
      <c r="K187" s="174">
        <f t="shared" si="44"/>
        <v>500</v>
      </c>
      <c r="L187" s="174">
        <f t="shared" si="45"/>
        <v>500</v>
      </c>
      <c r="M187" s="233">
        <v>33.333333333333336</v>
      </c>
      <c r="N187" s="233">
        <v>33.333333333333336</v>
      </c>
      <c r="O187" s="233">
        <v>33.333333333333336</v>
      </c>
      <c r="P187" s="233">
        <f t="shared" si="46"/>
        <v>500</v>
      </c>
      <c r="Q187" s="233">
        <f t="shared" si="48"/>
        <v>-6</v>
      </c>
      <c r="R187" s="234">
        <f t="shared" si="47"/>
        <v>506</v>
      </c>
    </row>
    <row r="188" spans="2:18" ht="12" customHeight="1">
      <c r="B188" s="531" t="s">
        <v>166</v>
      </c>
      <c r="C188" s="262" t="s">
        <v>166</v>
      </c>
      <c r="D188" s="455">
        <v>500</v>
      </c>
      <c r="E188" s="174">
        <v>500</v>
      </c>
      <c r="F188" s="174">
        <v>500</v>
      </c>
      <c r="G188" s="174">
        <v>0</v>
      </c>
      <c r="H188" s="174">
        <v>0</v>
      </c>
      <c r="I188" s="174">
        <v>0</v>
      </c>
      <c r="J188" s="174">
        <f t="shared" si="43"/>
        <v>500</v>
      </c>
      <c r="K188" s="174">
        <f t="shared" si="44"/>
        <v>500</v>
      </c>
      <c r="L188" s="174">
        <f t="shared" si="45"/>
        <v>500</v>
      </c>
      <c r="M188" s="233">
        <v>33.333333333333336</v>
      </c>
      <c r="N188" s="233">
        <v>33.333333333333336</v>
      </c>
      <c r="O188" s="233">
        <v>33.333333333333336</v>
      </c>
      <c r="P188" s="233">
        <f t="shared" si="46"/>
        <v>500</v>
      </c>
      <c r="Q188" s="233">
        <f t="shared" si="48"/>
        <v>-6</v>
      </c>
      <c r="R188" s="234">
        <f t="shared" si="47"/>
        <v>506</v>
      </c>
    </row>
    <row r="189" spans="2:18" ht="12" customHeight="1">
      <c r="B189" s="266" t="s">
        <v>167</v>
      </c>
      <c r="C189" s="267" t="s">
        <v>167</v>
      </c>
      <c r="D189" s="528">
        <v>500</v>
      </c>
      <c r="E189" s="184">
        <v>500</v>
      </c>
      <c r="F189" s="184">
        <v>500</v>
      </c>
      <c r="G189" s="184">
        <v>0</v>
      </c>
      <c r="H189" s="184">
        <v>0</v>
      </c>
      <c r="I189" s="184">
        <v>0</v>
      </c>
      <c r="J189" s="184">
        <f t="shared" si="43"/>
        <v>500</v>
      </c>
      <c r="K189" s="184">
        <f t="shared" si="44"/>
        <v>500</v>
      </c>
      <c r="L189" s="184">
        <f t="shared" si="45"/>
        <v>500</v>
      </c>
      <c r="M189" s="529">
        <v>33.333333333333336</v>
      </c>
      <c r="N189" s="529">
        <v>33.333333333333336</v>
      </c>
      <c r="O189" s="529">
        <v>33.333333333333336</v>
      </c>
      <c r="P189" s="529">
        <f t="shared" si="46"/>
        <v>500</v>
      </c>
      <c r="Q189" s="529">
        <f t="shared" si="48"/>
        <v>-6</v>
      </c>
      <c r="R189" s="530">
        <f t="shared" si="47"/>
        <v>506</v>
      </c>
    </row>
    <row r="190" spans="2:18" ht="12" customHeight="1">
      <c r="B190" s="439" t="s">
        <v>395</v>
      </c>
      <c r="C190" s="264" t="s">
        <v>396</v>
      </c>
      <c r="D190" s="174">
        <v>0</v>
      </c>
      <c r="E190" s="174">
        <v>0</v>
      </c>
      <c r="F190" s="174">
        <v>0</v>
      </c>
      <c r="G190" s="177">
        <v>0</v>
      </c>
      <c r="H190" s="177">
        <v>0</v>
      </c>
      <c r="I190" s="177">
        <v>0</v>
      </c>
      <c r="J190" s="177">
        <f t="shared" si="43"/>
        <v>0</v>
      </c>
      <c r="K190" s="177">
        <f t="shared" si="44"/>
        <v>0</v>
      </c>
      <c r="L190" s="177">
        <f t="shared" si="45"/>
        <v>0</v>
      </c>
      <c r="M190" s="239">
        <v>33.333333333333336</v>
      </c>
      <c r="N190" s="239">
        <v>33.333333333333336</v>
      </c>
      <c r="O190" s="239">
        <v>33.333333333333336</v>
      </c>
      <c r="P190" s="239">
        <f t="shared" si="46"/>
        <v>0</v>
      </c>
      <c r="Q190" s="239">
        <f t="shared" si="48"/>
        <v>-6</v>
      </c>
      <c r="R190" s="240">
        <f t="shared" si="47"/>
        <v>6</v>
      </c>
    </row>
    <row r="191" spans="2:18" ht="12" customHeight="1">
      <c r="B191" s="531" t="s">
        <v>390</v>
      </c>
      <c r="C191" s="262" t="s">
        <v>390</v>
      </c>
      <c r="D191" s="174">
        <v>0</v>
      </c>
      <c r="E191" s="174">
        <v>0</v>
      </c>
      <c r="F191" s="174">
        <v>0</v>
      </c>
      <c r="G191" s="174">
        <v>0</v>
      </c>
      <c r="H191" s="174">
        <v>0</v>
      </c>
      <c r="I191" s="174">
        <v>0</v>
      </c>
      <c r="J191" s="174">
        <f t="shared" si="43"/>
        <v>0</v>
      </c>
      <c r="K191" s="174">
        <f t="shared" si="44"/>
        <v>0</v>
      </c>
      <c r="L191" s="174">
        <f t="shared" si="45"/>
        <v>0</v>
      </c>
      <c r="M191" s="233">
        <v>33.333333333333336</v>
      </c>
      <c r="N191" s="233">
        <v>33.333333333333336</v>
      </c>
      <c r="O191" s="233">
        <v>33.333333333333336</v>
      </c>
      <c r="P191" s="233">
        <f t="shared" si="46"/>
        <v>0</v>
      </c>
      <c r="Q191" s="233">
        <f t="shared" si="48"/>
        <v>-6</v>
      </c>
      <c r="R191" s="234">
        <f t="shared" si="47"/>
        <v>6</v>
      </c>
    </row>
    <row r="192" spans="2:18" ht="12" customHeight="1">
      <c r="B192" s="454">
        <v>3</v>
      </c>
      <c r="C192" s="270" t="s">
        <v>168</v>
      </c>
      <c r="D192" s="174">
        <v>0</v>
      </c>
      <c r="E192" s="174">
        <v>0</v>
      </c>
      <c r="F192" s="174">
        <v>0</v>
      </c>
      <c r="G192" s="174">
        <v>0</v>
      </c>
      <c r="H192" s="174">
        <v>0</v>
      </c>
      <c r="I192" s="174">
        <v>0</v>
      </c>
      <c r="J192" s="174">
        <f t="shared" si="43"/>
        <v>0</v>
      </c>
      <c r="K192" s="174">
        <f t="shared" si="44"/>
        <v>0</v>
      </c>
      <c r="L192" s="174">
        <f t="shared" si="45"/>
        <v>0</v>
      </c>
      <c r="M192" s="233">
        <v>33.333333333333336</v>
      </c>
      <c r="N192" s="233">
        <v>33.333333333333336</v>
      </c>
      <c r="O192" s="233">
        <v>33.333333333333336</v>
      </c>
      <c r="P192" s="233">
        <f t="shared" si="46"/>
        <v>0</v>
      </c>
      <c r="Q192" s="233">
        <f t="shared" si="48"/>
        <v>-6</v>
      </c>
      <c r="R192" s="234">
        <f t="shared" si="47"/>
        <v>6</v>
      </c>
    </row>
    <row r="193" spans="2:18" ht="12" customHeight="1">
      <c r="B193" s="454">
        <v>4</v>
      </c>
      <c r="C193" s="270" t="s">
        <v>169</v>
      </c>
      <c r="D193" s="174">
        <v>0</v>
      </c>
      <c r="E193" s="174">
        <v>0</v>
      </c>
      <c r="F193" s="174">
        <v>0</v>
      </c>
      <c r="G193" s="174">
        <v>0</v>
      </c>
      <c r="H193" s="174">
        <v>0</v>
      </c>
      <c r="I193" s="174">
        <v>0</v>
      </c>
      <c r="J193" s="174">
        <f t="shared" ref="J193:J204" si="49">D193+G193</f>
        <v>0</v>
      </c>
      <c r="K193" s="174">
        <f t="shared" ref="K193:K204" si="50">E193+H193</f>
        <v>0</v>
      </c>
      <c r="L193" s="174">
        <f t="shared" ref="L193:L204" si="51">F193+I193</f>
        <v>0</v>
      </c>
      <c r="M193" s="233">
        <v>33.333333333333336</v>
      </c>
      <c r="N193" s="233">
        <v>33.333333333333336</v>
      </c>
      <c r="O193" s="233">
        <v>33.333333333333336</v>
      </c>
      <c r="P193" s="233">
        <f t="shared" ref="P193:P204" si="52">(J193*M193+K193*N193+L193*O193)/100</f>
        <v>0</v>
      </c>
      <c r="Q193" s="233">
        <f t="shared" si="48"/>
        <v>-6</v>
      </c>
      <c r="R193" s="234">
        <f t="shared" ref="R193:R204" si="53">P193-Q193</f>
        <v>6</v>
      </c>
    </row>
    <row r="194" spans="2:18" ht="12" customHeight="1">
      <c r="B194" s="454">
        <v>5</v>
      </c>
      <c r="C194" s="270" t="s">
        <v>160</v>
      </c>
      <c r="D194" s="174">
        <v>0</v>
      </c>
      <c r="E194" s="174">
        <v>0</v>
      </c>
      <c r="F194" s="174">
        <v>0</v>
      </c>
      <c r="G194" s="174">
        <v>0</v>
      </c>
      <c r="H194" s="174">
        <v>0</v>
      </c>
      <c r="I194" s="174">
        <v>0</v>
      </c>
      <c r="J194" s="174">
        <f t="shared" si="49"/>
        <v>0</v>
      </c>
      <c r="K194" s="174">
        <f t="shared" si="50"/>
        <v>0</v>
      </c>
      <c r="L194" s="174">
        <f t="shared" si="51"/>
        <v>0</v>
      </c>
      <c r="M194" s="233">
        <v>33.333333333333336</v>
      </c>
      <c r="N194" s="233">
        <v>33.333333333333336</v>
      </c>
      <c r="O194" s="233">
        <v>33.333333333333336</v>
      </c>
      <c r="P194" s="233">
        <f t="shared" si="52"/>
        <v>0</v>
      </c>
      <c r="Q194" s="233">
        <f t="shared" si="48"/>
        <v>-6</v>
      </c>
      <c r="R194" s="234">
        <f t="shared" si="53"/>
        <v>6</v>
      </c>
    </row>
    <row r="195" spans="2:18" ht="12" customHeight="1">
      <c r="B195" s="454">
        <v>6</v>
      </c>
      <c r="C195" s="270" t="s">
        <v>161</v>
      </c>
      <c r="D195" s="174">
        <v>0</v>
      </c>
      <c r="E195" s="174">
        <v>0</v>
      </c>
      <c r="F195" s="174">
        <v>0</v>
      </c>
      <c r="G195" s="174">
        <v>0</v>
      </c>
      <c r="H195" s="174">
        <v>0</v>
      </c>
      <c r="I195" s="174">
        <v>0</v>
      </c>
      <c r="J195" s="174">
        <f t="shared" si="49"/>
        <v>0</v>
      </c>
      <c r="K195" s="174">
        <f t="shared" si="50"/>
        <v>0</v>
      </c>
      <c r="L195" s="174">
        <f t="shared" si="51"/>
        <v>0</v>
      </c>
      <c r="M195" s="233">
        <v>33.333333333333336</v>
      </c>
      <c r="N195" s="233">
        <v>33.333333333333336</v>
      </c>
      <c r="O195" s="233">
        <v>33.333333333333336</v>
      </c>
      <c r="P195" s="233">
        <f t="shared" si="52"/>
        <v>0</v>
      </c>
      <c r="Q195" s="233">
        <f t="shared" si="48"/>
        <v>-6</v>
      </c>
      <c r="R195" s="234">
        <f t="shared" si="53"/>
        <v>6</v>
      </c>
    </row>
    <row r="196" spans="2:18" ht="12" customHeight="1">
      <c r="B196" s="454">
        <v>7</v>
      </c>
      <c r="C196" s="270" t="s">
        <v>162</v>
      </c>
      <c r="D196" s="174">
        <v>0</v>
      </c>
      <c r="E196" s="174">
        <v>0</v>
      </c>
      <c r="F196" s="174">
        <v>0</v>
      </c>
      <c r="G196" s="174">
        <v>0</v>
      </c>
      <c r="H196" s="174">
        <v>0</v>
      </c>
      <c r="I196" s="174">
        <v>0</v>
      </c>
      <c r="J196" s="174">
        <f t="shared" si="49"/>
        <v>0</v>
      </c>
      <c r="K196" s="174">
        <f t="shared" si="50"/>
        <v>0</v>
      </c>
      <c r="L196" s="174">
        <f t="shared" si="51"/>
        <v>0</v>
      </c>
      <c r="M196" s="233">
        <v>33.333333333333336</v>
      </c>
      <c r="N196" s="233">
        <v>33.333333333333336</v>
      </c>
      <c r="O196" s="233">
        <v>33.333333333333336</v>
      </c>
      <c r="P196" s="233">
        <f t="shared" si="52"/>
        <v>0</v>
      </c>
      <c r="Q196" s="233">
        <f t="shared" si="48"/>
        <v>-6</v>
      </c>
      <c r="R196" s="234">
        <f t="shared" si="53"/>
        <v>6</v>
      </c>
    </row>
    <row r="197" spans="2:18" ht="12" customHeight="1">
      <c r="B197" s="454">
        <v>8</v>
      </c>
      <c r="C197" s="270" t="s">
        <v>163</v>
      </c>
      <c r="D197" s="174">
        <v>0</v>
      </c>
      <c r="E197" s="174">
        <v>0</v>
      </c>
      <c r="F197" s="174">
        <v>0</v>
      </c>
      <c r="G197" s="174">
        <v>0</v>
      </c>
      <c r="H197" s="174">
        <v>0</v>
      </c>
      <c r="I197" s="174">
        <v>0</v>
      </c>
      <c r="J197" s="174">
        <f t="shared" si="49"/>
        <v>0</v>
      </c>
      <c r="K197" s="174">
        <f t="shared" si="50"/>
        <v>0</v>
      </c>
      <c r="L197" s="174">
        <f t="shared" si="51"/>
        <v>0</v>
      </c>
      <c r="M197" s="233">
        <v>33.333333333333336</v>
      </c>
      <c r="N197" s="233">
        <v>33.333333333333336</v>
      </c>
      <c r="O197" s="233">
        <v>33.333333333333336</v>
      </c>
      <c r="P197" s="233">
        <f t="shared" si="52"/>
        <v>0</v>
      </c>
      <c r="Q197" s="233">
        <f t="shared" si="48"/>
        <v>-6</v>
      </c>
      <c r="R197" s="234">
        <f t="shared" si="53"/>
        <v>6</v>
      </c>
    </row>
    <row r="198" spans="2:18" ht="12" customHeight="1">
      <c r="B198" s="454">
        <v>9</v>
      </c>
      <c r="C198" s="270" t="s">
        <v>164</v>
      </c>
      <c r="D198" s="174">
        <v>0</v>
      </c>
      <c r="E198" s="174">
        <v>0</v>
      </c>
      <c r="F198" s="174">
        <v>0</v>
      </c>
      <c r="G198" s="174">
        <v>0</v>
      </c>
      <c r="H198" s="174">
        <v>0</v>
      </c>
      <c r="I198" s="174">
        <v>0</v>
      </c>
      <c r="J198" s="174">
        <f t="shared" si="49"/>
        <v>0</v>
      </c>
      <c r="K198" s="174">
        <f t="shared" si="50"/>
        <v>0</v>
      </c>
      <c r="L198" s="174">
        <f t="shared" si="51"/>
        <v>0</v>
      </c>
      <c r="M198" s="233">
        <v>33.333333333333336</v>
      </c>
      <c r="N198" s="233">
        <v>33.333333333333336</v>
      </c>
      <c r="O198" s="233">
        <v>33.333333333333336</v>
      </c>
      <c r="P198" s="233">
        <f t="shared" si="52"/>
        <v>0</v>
      </c>
      <c r="Q198" s="233">
        <f t="shared" si="48"/>
        <v>-6</v>
      </c>
      <c r="R198" s="234">
        <f t="shared" si="53"/>
        <v>6</v>
      </c>
    </row>
    <row r="199" spans="2:18" ht="12" customHeight="1">
      <c r="B199" s="454">
        <v>10</v>
      </c>
      <c r="C199" s="270" t="s">
        <v>165</v>
      </c>
      <c r="D199" s="174">
        <v>0</v>
      </c>
      <c r="E199" s="174">
        <v>0</v>
      </c>
      <c r="F199" s="174">
        <v>0</v>
      </c>
      <c r="G199" s="174">
        <v>0</v>
      </c>
      <c r="H199" s="174">
        <v>0</v>
      </c>
      <c r="I199" s="174">
        <v>0</v>
      </c>
      <c r="J199" s="174">
        <f t="shared" si="49"/>
        <v>0</v>
      </c>
      <c r="K199" s="174">
        <f t="shared" si="50"/>
        <v>0</v>
      </c>
      <c r="L199" s="174">
        <f t="shared" si="51"/>
        <v>0</v>
      </c>
      <c r="M199" s="233">
        <v>33.333333333333336</v>
      </c>
      <c r="N199" s="233">
        <v>33.333333333333336</v>
      </c>
      <c r="O199" s="233">
        <v>33.333333333333336</v>
      </c>
      <c r="P199" s="233">
        <f t="shared" si="52"/>
        <v>0</v>
      </c>
      <c r="Q199" s="233">
        <f t="shared" si="48"/>
        <v>-6</v>
      </c>
      <c r="R199" s="234">
        <f t="shared" si="53"/>
        <v>6</v>
      </c>
    </row>
    <row r="200" spans="2:18" ht="12" customHeight="1">
      <c r="B200" s="454">
        <v>11</v>
      </c>
      <c r="C200" s="270" t="s">
        <v>166</v>
      </c>
      <c r="D200" s="174">
        <v>0</v>
      </c>
      <c r="E200" s="174">
        <v>0</v>
      </c>
      <c r="F200" s="174">
        <v>0</v>
      </c>
      <c r="G200" s="174">
        <v>0</v>
      </c>
      <c r="H200" s="174">
        <v>0</v>
      </c>
      <c r="I200" s="174">
        <v>0</v>
      </c>
      <c r="J200" s="174">
        <f t="shared" si="49"/>
        <v>0</v>
      </c>
      <c r="K200" s="174">
        <f t="shared" si="50"/>
        <v>0</v>
      </c>
      <c r="L200" s="174">
        <f t="shared" si="51"/>
        <v>0</v>
      </c>
      <c r="M200" s="233">
        <v>33.333333333333336</v>
      </c>
      <c r="N200" s="233">
        <v>33.333333333333336</v>
      </c>
      <c r="O200" s="233">
        <v>33.333333333333336</v>
      </c>
      <c r="P200" s="233">
        <f t="shared" si="52"/>
        <v>0</v>
      </c>
      <c r="Q200" s="233">
        <f t="shared" si="48"/>
        <v>-6</v>
      </c>
      <c r="R200" s="234">
        <f t="shared" si="53"/>
        <v>6</v>
      </c>
    </row>
    <row r="201" spans="2:18" ht="12" customHeight="1">
      <c r="B201" s="456">
        <v>12</v>
      </c>
      <c r="C201" s="287" t="s">
        <v>167</v>
      </c>
      <c r="D201" s="532">
        <v>0</v>
      </c>
      <c r="E201" s="184">
        <v>0</v>
      </c>
      <c r="F201" s="184">
        <v>0</v>
      </c>
      <c r="G201" s="184">
        <v>0</v>
      </c>
      <c r="H201" s="184">
        <v>0</v>
      </c>
      <c r="I201" s="184">
        <v>0</v>
      </c>
      <c r="J201" s="184">
        <f t="shared" si="49"/>
        <v>0</v>
      </c>
      <c r="K201" s="184">
        <f t="shared" si="50"/>
        <v>0</v>
      </c>
      <c r="L201" s="184">
        <f t="shared" si="51"/>
        <v>0</v>
      </c>
      <c r="M201" s="529">
        <v>33.333333333333336</v>
      </c>
      <c r="N201" s="529">
        <v>33.333333333333336</v>
      </c>
      <c r="O201" s="529">
        <v>33.333333333333336</v>
      </c>
      <c r="P201" s="529">
        <f t="shared" si="52"/>
        <v>0</v>
      </c>
      <c r="Q201" s="529">
        <f t="shared" si="48"/>
        <v>-6</v>
      </c>
      <c r="R201" s="530">
        <f t="shared" si="53"/>
        <v>6</v>
      </c>
    </row>
    <row r="202" spans="2:18" ht="12" customHeight="1">
      <c r="B202" s="439" t="s">
        <v>397</v>
      </c>
      <c r="C202" s="264" t="s">
        <v>398</v>
      </c>
      <c r="D202" s="174">
        <v>0</v>
      </c>
      <c r="E202" s="174">
        <v>0</v>
      </c>
      <c r="F202" s="174">
        <v>0</v>
      </c>
      <c r="G202" s="177">
        <v>3300</v>
      </c>
      <c r="H202" s="177">
        <v>3300</v>
      </c>
      <c r="I202" s="177">
        <v>3300</v>
      </c>
      <c r="J202" s="177">
        <f t="shared" si="49"/>
        <v>3300</v>
      </c>
      <c r="K202" s="177">
        <f t="shared" si="50"/>
        <v>3300</v>
      </c>
      <c r="L202" s="177">
        <f t="shared" si="51"/>
        <v>3300</v>
      </c>
      <c r="M202" s="239">
        <v>33.333333333333336</v>
      </c>
      <c r="N202" s="239">
        <v>33.333333333333336</v>
      </c>
      <c r="O202" s="239">
        <v>33.333333333333336</v>
      </c>
      <c r="P202" s="239">
        <f t="shared" si="52"/>
        <v>3300.0000000000005</v>
      </c>
      <c r="Q202" s="239">
        <f t="shared" si="48"/>
        <v>-6</v>
      </c>
      <c r="R202" s="240">
        <f t="shared" si="53"/>
        <v>3306.0000000000005</v>
      </c>
    </row>
    <row r="203" spans="2:18" ht="12" customHeight="1">
      <c r="B203" s="531" t="s">
        <v>390</v>
      </c>
      <c r="C203" s="262" t="s">
        <v>390</v>
      </c>
      <c r="D203" s="174">
        <v>0</v>
      </c>
      <c r="E203" s="174">
        <v>0</v>
      </c>
      <c r="F203" s="174">
        <v>0</v>
      </c>
      <c r="G203" s="174">
        <v>3300</v>
      </c>
      <c r="H203" s="174">
        <v>3300</v>
      </c>
      <c r="I203" s="174">
        <v>3300</v>
      </c>
      <c r="J203" s="174">
        <f t="shared" si="49"/>
        <v>3300</v>
      </c>
      <c r="K203" s="174">
        <f t="shared" si="50"/>
        <v>3300</v>
      </c>
      <c r="L203" s="174">
        <f t="shared" si="51"/>
        <v>3300</v>
      </c>
      <c r="M203" s="233">
        <v>33.333333333333336</v>
      </c>
      <c r="N203" s="233">
        <v>33.333333333333336</v>
      </c>
      <c r="O203" s="233">
        <v>33.333333333333336</v>
      </c>
      <c r="P203" s="233">
        <f t="shared" si="52"/>
        <v>3300.0000000000005</v>
      </c>
      <c r="Q203" s="233">
        <f t="shared" si="48"/>
        <v>-6</v>
      </c>
      <c r="R203" s="234">
        <f t="shared" si="53"/>
        <v>3306.0000000000005</v>
      </c>
    </row>
    <row r="204" spans="2:18" ht="12" customHeight="1">
      <c r="B204" s="454">
        <v>3</v>
      </c>
      <c r="C204" s="270" t="s">
        <v>168</v>
      </c>
      <c r="D204" s="174">
        <v>0</v>
      </c>
      <c r="E204" s="174">
        <v>0</v>
      </c>
      <c r="F204" s="174">
        <v>0</v>
      </c>
      <c r="G204" s="174">
        <v>3300</v>
      </c>
      <c r="H204" s="174">
        <v>3300</v>
      </c>
      <c r="I204" s="174">
        <v>3300</v>
      </c>
      <c r="J204" s="174">
        <f t="shared" si="49"/>
        <v>3300</v>
      </c>
      <c r="K204" s="174">
        <f t="shared" si="50"/>
        <v>3300</v>
      </c>
      <c r="L204" s="174">
        <f t="shared" si="51"/>
        <v>3300</v>
      </c>
      <c r="M204" s="233">
        <v>33.333333333333336</v>
      </c>
      <c r="N204" s="233">
        <v>33.333333333333336</v>
      </c>
      <c r="O204" s="233">
        <v>33.333333333333336</v>
      </c>
      <c r="P204" s="233">
        <f t="shared" si="52"/>
        <v>3300.0000000000005</v>
      </c>
      <c r="Q204" s="233">
        <f t="shared" si="48"/>
        <v>-6</v>
      </c>
      <c r="R204" s="234">
        <f t="shared" si="53"/>
        <v>3306.0000000000005</v>
      </c>
    </row>
    <row r="205" spans="2:18" ht="12" customHeight="1">
      <c r="B205" s="454">
        <v>4</v>
      </c>
      <c r="C205" s="270" t="s">
        <v>169</v>
      </c>
      <c r="D205" s="174">
        <v>400</v>
      </c>
      <c r="E205" s="174">
        <v>400</v>
      </c>
      <c r="F205" s="174">
        <v>400</v>
      </c>
      <c r="G205" s="174">
        <v>9900</v>
      </c>
      <c r="H205" s="174">
        <v>9900</v>
      </c>
      <c r="I205" s="174">
        <v>9900</v>
      </c>
      <c r="J205" s="174">
        <f t="shared" ref="J205:J216" si="54">D205+G205</f>
        <v>10300</v>
      </c>
      <c r="K205" s="174">
        <f t="shared" ref="K205:K216" si="55">E205+H205</f>
        <v>10300</v>
      </c>
      <c r="L205" s="174">
        <f t="shared" ref="L205:L216" si="56">F205+I205</f>
        <v>10300</v>
      </c>
      <c r="M205" s="233">
        <v>33.333333333333336</v>
      </c>
      <c r="N205" s="233">
        <v>33.333333333333336</v>
      </c>
      <c r="O205" s="233">
        <v>33.333333333333336</v>
      </c>
      <c r="P205" s="233">
        <f t="shared" ref="P205:P216" si="57">(J205*M205+K205*N205+L205*O205)/100</f>
        <v>10300.000000000002</v>
      </c>
      <c r="Q205" s="233">
        <f t="shared" si="48"/>
        <v>-6</v>
      </c>
      <c r="R205" s="234">
        <f t="shared" ref="R205:R216" si="58">P205-Q205</f>
        <v>10306.000000000002</v>
      </c>
    </row>
    <row r="206" spans="2:18" ht="12" customHeight="1">
      <c r="B206" s="454">
        <v>5</v>
      </c>
      <c r="C206" s="270" t="s">
        <v>160</v>
      </c>
      <c r="D206" s="174">
        <v>400</v>
      </c>
      <c r="E206" s="174">
        <v>400</v>
      </c>
      <c r="F206" s="174">
        <v>400</v>
      </c>
      <c r="G206" s="174">
        <v>9900</v>
      </c>
      <c r="H206" s="174">
        <v>9900</v>
      </c>
      <c r="I206" s="174">
        <v>9900</v>
      </c>
      <c r="J206" s="174">
        <f t="shared" si="54"/>
        <v>10300</v>
      </c>
      <c r="K206" s="174">
        <f t="shared" si="55"/>
        <v>10300</v>
      </c>
      <c r="L206" s="174">
        <f t="shared" si="56"/>
        <v>10300</v>
      </c>
      <c r="M206" s="233">
        <v>33.333333333333336</v>
      </c>
      <c r="N206" s="233">
        <v>33.333333333333336</v>
      </c>
      <c r="O206" s="233">
        <v>33.333333333333336</v>
      </c>
      <c r="P206" s="233">
        <f t="shared" si="57"/>
        <v>10300.000000000002</v>
      </c>
      <c r="Q206" s="233">
        <f t="shared" si="48"/>
        <v>-6</v>
      </c>
      <c r="R206" s="234">
        <f t="shared" si="58"/>
        <v>10306.000000000002</v>
      </c>
    </row>
    <row r="207" spans="2:18" ht="12" customHeight="1">
      <c r="B207" s="454">
        <v>6</v>
      </c>
      <c r="C207" s="270" t="s">
        <v>161</v>
      </c>
      <c r="D207" s="174">
        <v>400</v>
      </c>
      <c r="E207" s="174">
        <v>400</v>
      </c>
      <c r="F207" s="174">
        <v>400</v>
      </c>
      <c r="G207" s="174">
        <v>9900</v>
      </c>
      <c r="H207" s="174">
        <v>9900</v>
      </c>
      <c r="I207" s="174">
        <v>9900</v>
      </c>
      <c r="J207" s="174">
        <f t="shared" si="54"/>
        <v>10300</v>
      </c>
      <c r="K207" s="174">
        <f t="shared" si="55"/>
        <v>10300</v>
      </c>
      <c r="L207" s="174">
        <f t="shared" si="56"/>
        <v>10300</v>
      </c>
      <c r="M207" s="233">
        <v>33.333333333333336</v>
      </c>
      <c r="N207" s="233">
        <v>33.333333333333336</v>
      </c>
      <c r="O207" s="233">
        <v>33.333333333333336</v>
      </c>
      <c r="P207" s="233">
        <f t="shared" si="57"/>
        <v>10300.000000000002</v>
      </c>
      <c r="Q207" s="233">
        <f t="shared" si="48"/>
        <v>-6</v>
      </c>
      <c r="R207" s="234">
        <f t="shared" si="58"/>
        <v>10306.000000000002</v>
      </c>
    </row>
    <row r="208" spans="2:18" ht="12" customHeight="1">
      <c r="B208" s="454">
        <v>7</v>
      </c>
      <c r="C208" s="270" t="s">
        <v>162</v>
      </c>
      <c r="D208" s="174">
        <v>400</v>
      </c>
      <c r="E208" s="174">
        <v>400</v>
      </c>
      <c r="F208" s="174">
        <v>400</v>
      </c>
      <c r="G208" s="174">
        <v>12200</v>
      </c>
      <c r="H208" s="174">
        <v>12200</v>
      </c>
      <c r="I208" s="174">
        <v>12200</v>
      </c>
      <c r="J208" s="174">
        <f t="shared" si="54"/>
        <v>12600</v>
      </c>
      <c r="K208" s="174">
        <f t="shared" si="55"/>
        <v>12600</v>
      </c>
      <c r="L208" s="174">
        <f t="shared" si="56"/>
        <v>12600</v>
      </c>
      <c r="M208" s="233">
        <v>33.333333333333336</v>
      </c>
      <c r="N208" s="233">
        <v>33.333333333333336</v>
      </c>
      <c r="O208" s="233">
        <v>33.333333333333336</v>
      </c>
      <c r="P208" s="233">
        <f t="shared" si="57"/>
        <v>12600.000000000002</v>
      </c>
      <c r="Q208" s="233">
        <f t="shared" si="48"/>
        <v>-6</v>
      </c>
      <c r="R208" s="234">
        <f t="shared" si="58"/>
        <v>12606.000000000002</v>
      </c>
    </row>
    <row r="209" spans="2:18" ht="12" customHeight="1">
      <c r="B209" s="454">
        <v>8</v>
      </c>
      <c r="C209" s="270" t="s">
        <v>163</v>
      </c>
      <c r="D209" s="174">
        <v>400</v>
      </c>
      <c r="E209" s="174">
        <v>400</v>
      </c>
      <c r="F209" s="174">
        <v>400</v>
      </c>
      <c r="G209" s="174">
        <v>12200</v>
      </c>
      <c r="H209" s="174">
        <v>12200</v>
      </c>
      <c r="I209" s="174">
        <v>12200</v>
      </c>
      <c r="J209" s="174">
        <f t="shared" si="54"/>
        <v>12600</v>
      </c>
      <c r="K209" s="174">
        <f t="shared" si="55"/>
        <v>12600</v>
      </c>
      <c r="L209" s="174">
        <f t="shared" si="56"/>
        <v>12600</v>
      </c>
      <c r="M209" s="233">
        <v>33.333333333333336</v>
      </c>
      <c r="N209" s="233">
        <v>33.333333333333336</v>
      </c>
      <c r="O209" s="233">
        <v>33.333333333333336</v>
      </c>
      <c r="P209" s="233">
        <f t="shared" si="57"/>
        <v>12600.000000000002</v>
      </c>
      <c r="Q209" s="233">
        <f t="shared" si="48"/>
        <v>-6</v>
      </c>
      <c r="R209" s="234">
        <f t="shared" si="58"/>
        <v>12606.000000000002</v>
      </c>
    </row>
    <row r="210" spans="2:18" ht="12" customHeight="1">
      <c r="B210" s="454">
        <v>9</v>
      </c>
      <c r="C210" s="270" t="s">
        <v>164</v>
      </c>
      <c r="D210" s="174">
        <v>400</v>
      </c>
      <c r="E210" s="174">
        <v>400</v>
      </c>
      <c r="F210" s="174">
        <v>400</v>
      </c>
      <c r="G210" s="174">
        <v>12200</v>
      </c>
      <c r="H210" s="174">
        <v>12200</v>
      </c>
      <c r="I210" s="174">
        <v>12200</v>
      </c>
      <c r="J210" s="174">
        <f t="shared" si="54"/>
        <v>12600</v>
      </c>
      <c r="K210" s="174">
        <f t="shared" si="55"/>
        <v>12600</v>
      </c>
      <c r="L210" s="174">
        <f t="shared" si="56"/>
        <v>12600</v>
      </c>
      <c r="M210" s="233">
        <v>33.333333333333336</v>
      </c>
      <c r="N210" s="233">
        <v>33.333333333333336</v>
      </c>
      <c r="O210" s="233">
        <v>33.333333333333336</v>
      </c>
      <c r="P210" s="233">
        <f t="shared" si="57"/>
        <v>12600.000000000002</v>
      </c>
      <c r="Q210" s="233">
        <f t="shared" si="48"/>
        <v>-6</v>
      </c>
      <c r="R210" s="234">
        <f t="shared" si="58"/>
        <v>12606.000000000002</v>
      </c>
    </row>
    <row r="211" spans="2:18" ht="12" customHeight="1">
      <c r="B211" s="454">
        <v>10</v>
      </c>
      <c r="C211" s="270" t="s">
        <v>165</v>
      </c>
      <c r="D211" s="174">
        <v>400</v>
      </c>
      <c r="E211" s="174">
        <v>400</v>
      </c>
      <c r="F211" s="174">
        <v>400</v>
      </c>
      <c r="G211" s="174">
        <v>8500</v>
      </c>
      <c r="H211" s="174">
        <v>8500</v>
      </c>
      <c r="I211" s="174">
        <v>8500</v>
      </c>
      <c r="J211" s="174">
        <f t="shared" si="54"/>
        <v>8900</v>
      </c>
      <c r="K211" s="174">
        <f t="shared" si="55"/>
        <v>8900</v>
      </c>
      <c r="L211" s="174">
        <f t="shared" si="56"/>
        <v>8900</v>
      </c>
      <c r="M211" s="233">
        <v>33.333333333333336</v>
      </c>
      <c r="N211" s="233">
        <v>33.333333333333336</v>
      </c>
      <c r="O211" s="233">
        <v>33.333333333333336</v>
      </c>
      <c r="P211" s="233">
        <f t="shared" si="57"/>
        <v>8900</v>
      </c>
      <c r="Q211" s="233">
        <f t="shared" si="48"/>
        <v>-6</v>
      </c>
      <c r="R211" s="234">
        <f t="shared" si="58"/>
        <v>8906</v>
      </c>
    </row>
    <row r="212" spans="2:18" ht="12" customHeight="1">
      <c r="B212" s="454">
        <v>11</v>
      </c>
      <c r="C212" s="270" t="s">
        <v>166</v>
      </c>
      <c r="D212" s="174">
        <v>400</v>
      </c>
      <c r="E212" s="174">
        <v>400</v>
      </c>
      <c r="F212" s="174">
        <v>400</v>
      </c>
      <c r="G212" s="174">
        <v>8500</v>
      </c>
      <c r="H212" s="174">
        <v>8500</v>
      </c>
      <c r="I212" s="174">
        <v>8500</v>
      </c>
      <c r="J212" s="174">
        <f t="shared" si="54"/>
        <v>8900</v>
      </c>
      <c r="K212" s="174">
        <f t="shared" si="55"/>
        <v>8900</v>
      </c>
      <c r="L212" s="174">
        <f t="shared" si="56"/>
        <v>8900</v>
      </c>
      <c r="M212" s="233">
        <v>33.333333333333336</v>
      </c>
      <c r="N212" s="233">
        <v>33.333333333333336</v>
      </c>
      <c r="O212" s="233">
        <v>33.333333333333336</v>
      </c>
      <c r="P212" s="233">
        <f t="shared" si="57"/>
        <v>8900</v>
      </c>
      <c r="Q212" s="233">
        <f t="shared" si="48"/>
        <v>-6</v>
      </c>
      <c r="R212" s="234">
        <f t="shared" si="58"/>
        <v>8906</v>
      </c>
    </row>
    <row r="213" spans="2:18" ht="12" customHeight="1">
      <c r="B213" s="456">
        <v>12</v>
      </c>
      <c r="C213" s="287" t="s">
        <v>167</v>
      </c>
      <c r="D213" s="532">
        <v>400</v>
      </c>
      <c r="E213" s="184">
        <v>400</v>
      </c>
      <c r="F213" s="184">
        <v>400</v>
      </c>
      <c r="G213" s="184">
        <v>8500</v>
      </c>
      <c r="H213" s="184">
        <v>8500</v>
      </c>
      <c r="I213" s="184">
        <v>8500</v>
      </c>
      <c r="J213" s="184">
        <f t="shared" si="54"/>
        <v>8900</v>
      </c>
      <c r="K213" s="184">
        <f t="shared" si="55"/>
        <v>8900</v>
      </c>
      <c r="L213" s="184">
        <f t="shared" si="56"/>
        <v>8900</v>
      </c>
      <c r="M213" s="529">
        <v>33.333333333333336</v>
      </c>
      <c r="N213" s="529">
        <v>33.333333333333336</v>
      </c>
      <c r="O213" s="529">
        <v>33.333333333333336</v>
      </c>
      <c r="P213" s="529">
        <f t="shared" si="57"/>
        <v>8900</v>
      </c>
      <c r="Q213" s="529">
        <f t="shared" si="48"/>
        <v>-6</v>
      </c>
      <c r="R213" s="530">
        <f t="shared" si="58"/>
        <v>8906</v>
      </c>
    </row>
    <row r="214" spans="2:18" ht="12" customHeight="1">
      <c r="B214" s="439" t="s">
        <v>399</v>
      </c>
      <c r="C214" s="264" t="s">
        <v>400</v>
      </c>
      <c r="D214" s="174">
        <v>400</v>
      </c>
      <c r="E214" s="174">
        <v>400</v>
      </c>
      <c r="F214" s="174">
        <v>400</v>
      </c>
      <c r="G214" s="177">
        <v>5200</v>
      </c>
      <c r="H214" s="177">
        <v>5200</v>
      </c>
      <c r="I214" s="177">
        <v>5200</v>
      </c>
      <c r="J214" s="177">
        <f t="shared" si="54"/>
        <v>5600</v>
      </c>
      <c r="K214" s="177">
        <f t="shared" si="55"/>
        <v>5600</v>
      </c>
      <c r="L214" s="177">
        <f t="shared" si="56"/>
        <v>5600</v>
      </c>
      <c r="M214" s="239">
        <v>33.333333333333336</v>
      </c>
      <c r="N214" s="239">
        <v>33.333333333333336</v>
      </c>
      <c r="O214" s="239">
        <v>33.333333333333336</v>
      </c>
      <c r="P214" s="239">
        <f t="shared" si="57"/>
        <v>5600</v>
      </c>
      <c r="Q214" s="239">
        <f t="shared" si="48"/>
        <v>-6</v>
      </c>
      <c r="R214" s="240">
        <f t="shared" si="58"/>
        <v>5606</v>
      </c>
    </row>
    <row r="215" spans="2:18" ht="12" customHeight="1">
      <c r="B215" s="531" t="s">
        <v>147</v>
      </c>
      <c r="C215" s="262" t="s">
        <v>147</v>
      </c>
      <c r="D215" s="174">
        <v>400</v>
      </c>
      <c r="E215" s="174">
        <v>400</v>
      </c>
      <c r="F215" s="174">
        <v>400</v>
      </c>
      <c r="G215" s="174">
        <v>5200</v>
      </c>
      <c r="H215" s="174">
        <v>5200</v>
      </c>
      <c r="I215" s="174">
        <v>5200</v>
      </c>
      <c r="J215" s="174">
        <f t="shared" si="54"/>
        <v>5600</v>
      </c>
      <c r="K215" s="174">
        <f t="shared" si="55"/>
        <v>5600</v>
      </c>
      <c r="L215" s="174">
        <f t="shared" si="56"/>
        <v>5600</v>
      </c>
      <c r="M215" s="233">
        <v>33.333333333333336</v>
      </c>
      <c r="N215" s="233">
        <v>33.333333333333336</v>
      </c>
      <c r="O215" s="233">
        <v>33.333333333333336</v>
      </c>
      <c r="P215" s="233">
        <f t="shared" si="57"/>
        <v>5600</v>
      </c>
      <c r="Q215" s="233">
        <f t="shared" si="48"/>
        <v>-6</v>
      </c>
      <c r="R215" s="234">
        <f t="shared" si="58"/>
        <v>5606</v>
      </c>
    </row>
    <row r="216" spans="2:18" ht="12" customHeight="1">
      <c r="B216" s="454">
        <v>3</v>
      </c>
      <c r="C216" s="270" t="s">
        <v>168</v>
      </c>
      <c r="D216" s="174">
        <v>400</v>
      </c>
      <c r="E216" s="174">
        <v>400</v>
      </c>
      <c r="F216" s="174">
        <v>400</v>
      </c>
      <c r="G216" s="174">
        <v>5200</v>
      </c>
      <c r="H216" s="174">
        <v>5200</v>
      </c>
      <c r="I216" s="174">
        <v>5200</v>
      </c>
      <c r="J216" s="174">
        <f t="shared" si="54"/>
        <v>5600</v>
      </c>
      <c r="K216" s="174">
        <f t="shared" si="55"/>
        <v>5600</v>
      </c>
      <c r="L216" s="174">
        <f t="shared" si="56"/>
        <v>5600</v>
      </c>
      <c r="M216" s="233">
        <v>33.333333333333336</v>
      </c>
      <c r="N216" s="233">
        <v>33.333333333333336</v>
      </c>
      <c r="O216" s="233">
        <v>33.333333333333336</v>
      </c>
      <c r="P216" s="233">
        <f t="shared" si="57"/>
        <v>5600</v>
      </c>
      <c r="Q216" s="233">
        <f t="shared" si="48"/>
        <v>-6</v>
      </c>
      <c r="R216" s="234">
        <f t="shared" si="58"/>
        <v>5606</v>
      </c>
    </row>
    <row r="217" spans="2:18" ht="12" customHeight="1">
      <c r="B217" s="454">
        <v>4</v>
      </c>
      <c r="C217" s="270" t="s">
        <v>169</v>
      </c>
      <c r="D217" s="174">
        <v>600</v>
      </c>
      <c r="E217" s="174">
        <v>600</v>
      </c>
      <c r="F217" s="174">
        <v>600</v>
      </c>
      <c r="G217" s="174">
        <v>9800</v>
      </c>
      <c r="H217" s="174">
        <v>9900</v>
      </c>
      <c r="I217" s="174">
        <v>9800</v>
      </c>
      <c r="J217" s="174">
        <f t="shared" ref="J217:J237" si="59">D217+G217</f>
        <v>10400</v>
      </c>
      <c r="K217" s="174">
        <f t="shared" ref="K217:K237" si="60">E217+H217</f>
        <v>10500</v>
      </c>
      <c r="L217" s="174">
        <f t="shared" ref="L217:L237" si="61">F217+I217</f>
        <v>10400</v>
      </c>
      <c r="M217" s="233">
        <v>33.333333333333336</v>
      </c>
      <c r="N217" s="233">
        <v>33.333333333333336</v>
      </c>
      <c r="O217" s="233">
        <v>33.333333333333336</v>
      </c>
      <c r="P217" s="233">
        <f t="shared" ref="P217:P237" si="62">(J217*M217+K217*N217+L217*O217)/100</f>
        <v>10433.333333333336</v>
      </c>
      <c r="Q217" s="233">
        <f t="shared" si="48"/>
        <v>-6</v>
      </c>
      <c r="R217" s="234">
        <f t="shared" ref="R217:R226" si="63">P217-Q217</f>
        <v>10439.333333333336</v>
      </c>
    </row>
    <row r="218" spans="2:18" ht="12" customHeight="1">
      <c r="B218" s="454">
        <v>5</v>
      </c>
      <c r="C218" s="270" t="s">
        <v>160</v>
      </c>
      <c r="D218" s="174">
        <v>600</v>
      </c>
      <c r="E218" s="174">
        <v>600</v>
      </c>
      <c r="F218" s="174">
        <v>600</v>
      </c>
      <c r="G218" s="174">
        <v>9800</v>
      </c>
      <c r="H218" s="174">
        <v>9900</v>
      </c>
      <c r="I218" s="174">
        <v>9800</v>
      </c>
      <c r="J218" s="174">
        <f t="shared" si="59"/>
        <v>10400</v>
      </c>
      <c r="K218" s="174">
        <f t="shared" si="60"/>
        <v>10500</v>
      </c>
      <c r="L218" s="174">
        <f t="shared" si="61"/>
        <v>10400</v>
      </c>
      <c r="M218" s="233">
        <v>33.333333333333336</v>
      </c>
      <c r="N218" s="233">
        <v>33.333333333333336</v>
      </c>
      <c r="O218" s="233">
        <v>33.333333333333336</v>
      </c>
      <c r="P218" s="233">
        <f t="shared" si="62"/>
        <v>10433.333333333336</v>
      </c>
      <c r="Q218" s="233">
        <f t="shared" si="48"/>
        <v>-6</v>
      </c>
      <c r="R218" s="234">
        <f t="shared" si="63"/>
        <v>10439.333333333336</v>
      </c>
    </row>
    <row r="219" spans="2:18" ht="12" customHeight="1">
      <c r="B219" s="454">
        <v>6</v>
      </c>
      <c r="C219" s="270" t="s">
        <v>161</v>
      </c>
      <c r="D219" s="174">
        <v>600</v>
      </c>
      <c r="E219" s="174">
        <v>600</v>
      </c>
      <c r="F219" s="174">
        <v>600</v>
      </c>
      <c r="G219" s="174">
        <v>9800</v>
      </c>
      <c r="H219" s="174">
        <v>9900</v>
      </c>
      <c r="I219" s="174">
        <v>9800</v>
      </c>
      <c r="J219" s="174">
        <f t="shared" si="59"/>
        <v>10400</v>
      </c>
      <c r="K219" s="174">
        <f t="shared" si="60"/>
        <v>10500</v>
      </c>
      <c r="L219" s="174">
        <f t="shared" si="61"/>
        <v>10400</v>
      </c>
      <c r="M219" s="233">
        <v>33.333333333333336</v>
      </c>
      <c r="N219" s="233">
        <v>33.333333333333336</v>
      </c>
      <c r="O219" s="233">
        <v>33.333333333333336</v>
      </c>
      <c r="P219" s="233">
        <f t="shared" si="62"/>
        <v>10433.333333333336</v>
      </c>
      <c r="Q219" s="233">
        <f t="shared" si="48"/>
        <v>-6</v>
      </c>
      <c r="R219" s="234">
        <f t="shared" si="63"/>
        <v>10439.333333333336</v>
      </c>
    </row>
    <row r="220" spans="2:18" ht="12" customHeight="1">
      <c r="B220" s="454">
        <v>7</v>
      </c>
      <c r="C220" s="270" t="s">
        <v>162</v>
      </c>
      <c r="D220" s="174">
        <v>600</v>
      </c>
      <c r="E220" s="174">
        <v>600</v>
      </c>
      <c r="F220" s="174">
        <v>600</v>
      </c>
      <c r="G220" s="174">
        <v>16800</v>
      </c>
      <c r="H220" s="174">
        <v>16800</v>
      </c>
      <c r="I220" s="174">
        <v>16800</v>
      </c>
      <c r="J220" s="174">
        <f t="shared" si="59"/>
        <v>17400</v>
      </c>
      <c r="K220" s="174">
        <f t="shared" si="60"/>
        <v>17400</v>
      </c>
      <c r="L220" s="174">
        <f t="shared" si="61"/>
        <v>17400</v>
      </c>
      <c r="M220" s="233">
        <v>33.333333333333336</v>
      </c>
      <c r="N220" s="233">
        <v>33.333333333333336</v>
      </c>
      <c r="O220" s="233">
        <v>33.333333333333336</v>
      </c>
      <c r="P220" s="233">
        <f t="shared" si="62"/>
        <v>17400</v>
      </c>
      <c r="Q220" s="233">
        <f t="shared" si="48"/>
        <v>-6</v>
      </c>
      <c r="R220" s="234">
        <f t="shared" si="63"/>
        <v>17406</v>
      </c>
    </row>
    <row r="221" spans="2:18" ht="12" customHeight="1">
      <c r="B221" s="454">
        <v>8</v>
      </c>
      <c r="C221" s="270" t="s">
        <v>163</v>
      </c>
      <c r="D221" s="174">
        <v>600</v>
      </c>
      <c r="E221" s="174">
        <v>600</v>
      </c>
      <c r="F221" s="174">
        <v>600</v>
      </c>
      <c r="G221" s="174">
        <v>16800</v>
      </c>
      <c r="H221" s="174">
        <v>16800</v>
      </c>
      <c r="I221" s="174">
        <v>16800</v>
      </c>
      <c r="J221" s="174">
        <f t="shared" si="59"/>
        <v>17400</v>
      </c>
      <c r="K221" s="174">
        <f t="shared" si="60"/>
        <v>17400</v>
      </c>
      <c r="L221" s="174">
        <f t="shared" si="61"/>
        <v>17400</v>
      </c>
      <c r="M221" s="233">
        <v>33.333333333333336</v>
      </c>
      <c r="N221" s="233">
        <v>33.333333333333336</v>
      </c>
      <c r="O221" s="233">
        <v>33.333333333333336</v>
      </c>
      <c r="P221" s="233">
        <f t="shared" si="62"/>
        <v>17400</v>
      </c>
      <c r="Q221" s="233">
        <f t="shared" si="48"/>
        <v>-6</v>
      </c>
      <c r="R221" s="234">
        <f t="shared" si="63"/>
        <v>17406</v>
      </c>
    </row>
    <row r="222" spans="2:18" ht="12" customHeight="1">
      <c r="B222" s="454">
        <v>9</v>
      </c>
      <c r="C222" s="270" t="s">
        <v>164</v>
      </c>
      <c r="D222" s="174">
        <v>600</v>
      </c>
      <c r="E222" s="174">
        <v>600</v>
      </c>
      <c r="F222" s="174">
        <v>600</v>
      </c>
      <c r="G222" s="174">
        <v>16800</v>
      </c>
      <c r="H222" s="174">
        <v>16800</v>
      </c>
      <c r="I222" s="174">
        <v>16800</v>
      </c>
      <c r="J222" s="174">
        <f t="shared" si="59"/>
        <v>17400</v>
      </c>
      <c r="K222" s="174">
        <f t="shared" si="60"/>
        <v>17400</v>
      </c>
      <c r="L222" s="174">
        <f t="shared" si="61"/>
        <v>17400</v>
      </c>
      <c r="M222" s="233">
        <v>33.333333333333336</v>
      </c>
      <c r="N222" s="233">
        <v>33.333333333333336</v>
      </c>
      <c r="O222" s="233">
        <v>33.333333333333336</v>
      </c>
      <c r="P222" s="233">
        <f t="shared" si="62"/>
        <v>17400</v>
      </c>
      <c r="Q222" s="233">
        <f t="shared" si="48"/>
        <v>-6</v>
      </c>
      <c r="R222" s="234">
        <f t="shared" si="63"/>
        <v>17406</v>
      </c>
    </row>
    <row r="223" spans="2:18" ht="12" customHeight="1">
      <c r="B223" s="454">
        <v>10</v>
      </c>
      <c r="C223" s="270" t="s">
        <v>165</v>
      </c>
      <c r="D223" s="174">
        <v>600</v>
      </c>
      <c r="E223" s="174">
        <v>600</v>
      </c>
      <c r="F223" s="174">
        <v>600</v>
      </c>
      <c r="G223" s="174">
        <v>7750</v>
      </c>
      <c r="H223" s="174">
        <v>7750</v>
      </c>
      <c r="I223" s="174">
        <v>7750</v>
      </c>
      <c r="J223" s="174">
        <f t="shared" si="59"/>
        <v>8350</v>
      </c>
      <c r="K223" s="174">
        <f t="shared" si="60"/>
        <v>8350</v>
      </c>
      <c r="L223" s="174">
        <f t="shared" si="61"/>
        <v>8350</v>
      </c>
      <c r="M223" s="233">
        <v>33.333333333333336</v>
      </c>
      <c r="N223" s="233">
        <v>33.333333333333336</v>
      </c>
      <c r="O223" s="233">
        <v>33.333333333333336</v>
      </c>
      <c r="P223" s="233">
        <f t="shared" si="62"/>
        <v>8350.0000000000018</v>
      </c>
      <c r="Q223" s="233">
        <f t="shared" si="48"/>
        <v>-6</v>
      </c>
      <c r="R223" s="234">
        <f t="shared" si="63"/>
        <v>8356.0000000000018</v>
      </c>
    </row>
    <row r="224" spans="2:18" ht="12" customHeight="1">
      <c r="B224" s="454">
        <v>11</v>
      </c>
      <c r="C224" s="270" t="s">
        <v>166</v>
      </c>
      <c r="D224" s="174">
        <v>600</v>
      </c>
      <c r="E224" s="174">
        <v>600</v>
      </c>
      <c r="F224" s="174">
        <v>600</v>
      </c>
      <c r="G224" s="174">
        <v>7750</v>
      </c>
      <c r="H224" s="174">
        <v>7750</v>
      </c>
      <c r="I224" s="174">
        <v>7750</v>
      </c>
      <c r="J224" s="174">
        <f t="shared" si="59"/>
        <v>8350</v>
      </c>
      <c r="K224" s="174">
        <f t="shared" si="60"/>
        <v>8350</v>
      </c>
      <c r="L224" s="174">
        <f t="shared" si="61"/>
        <v>8350</v>
      </c>
      <c r="M224" s="233">
        <v>33.333333333333336</v>
      </c>
      <c r="N224" s="233">
        <v>33.333333333333336</v>
      </c>
      <c r="O224" s="233">
        <v>33.333333333333336</v>
      </c>
      <c r="P224" s="233">
        <f t="shared" si="62"/>
        <v>8350.0000000000018</v>
      </c>
      <c r="Q224" s="233">
        <f t="shared" si="48"/>
        <v>-6</v>
      </c>
      <c r="R224" s="234">
        <f t="shared" si="63"/>
        <v>8356.0000000000018</v>
      </c>
    </row>
    <row r="225" spans="2:18" ht="12" customHeight="1">
      <c r="B225" s="456">
        <v>12</v>
      </c>
      <c r="C225" s="287" t="s">
        <v>167</v>
      </c>
      <c r="D225" s="532">
        <v>600</v>
      </c>
      <c r="E225" s="184">
        <v>600</v>
      </c>
      <c r="F225" s="184">
        <v>600</v>
      </c>
      <c r="G225" s="184">
        <v>7750</v>
      </c>
      <c r="H225" s="184">
        <v>7750</v>
      </c>
      <c r="I225" s="184">
        <v>7750</v>
      </c>
      <c r="J225" s="184">
        <f t="shared" si="59"/>
        <v>8350</v>
      </c>
      <c r="K225" s="184">
        <f t="shared" si="60"/>
        <v>8350</v>
      </c>
      <c r="L225" s="184">
        <f t="shared" si="61"/>
        <v>8350</v>
      </c>
      <c r="M225" s="529">
        <v>33.333333333333336</v>
      </c>
      <c r="N225" s="529">
        <v>33.333333333333336</v>
      </c>
      <c r="O225" s="529">
        <v>33.333333333333336</v>
      </c>
      <c r="P225" s="529">
        <f t="shared" si="62"/>
        <v>8350.0000000000018</v>
      </c>
      <c r="Q225" s="529">
        <f t="shared" si="48"/>
        <v>-6</v>
      </c>
      <c r="R225" s="530">
        <f t="shared" si="63"/>
        <v>8356.0000000000018</v>
      </c>
    </row>
    <row r="226" spans="2:18" ht="12" customHeight="1">
      <c r="B226" s="439" t="s">
        <v>405</v>
      </c>
      <c r="C226" s="264" t="s">
        <v>406</v>
      </c>
      <c r="D226" s="392">
        <v>600</v>
      </c>
      <c r="E226" s="174">
        <v>600</v>
      </c>
      <c r="F226" s="174">
        <v>600</v>
      </c>
      <c r="G226" s="174">
        <v>950</v>
      </c>
      <c r="H226" s="174">
        <v>950</v>
      </c>
      <c r="I226" s="174">
        <v>950</v>
      </c>
      <c r="J226" s="177">
        <f t="shared" si="59"/>
        <v>1550</v>
      </c>
      <c r="K226" s="177">
        <f t="shared" si="60"/>
        <v>1550</v>
      </c>
      <c r="L226" s="177">
        <f t="shared" si="61"/>
        <v>1550</v>
      </c>
      <c r="M226" s="239">
        <v>33.333333333333336</v>
      </c>
      <c r="N226" s="239">
        <v>33.333333333333336</v>
      </c>
      <c r="O226" s="239">
        <v>33.333333333333336</v>
      </c>
      <c r="P226" s="239">
        <f t="shared" si="62"/>
        <v>1550</v>
      </c>
      <c r="Q226" s="239">
        <f t="shared" si="48"/>
        <v>-6</v>
      </c>
      <c r="R226" s="240">
        <f t="shared" si="63"/>
        <v>1556</v>
      </c>
    </row>
    <row r="227" spans="2:18" ht="12" customHeight="1">
      <c r="B227" s="265" t="s">
        <v>401</v>
      </c>
      <c r="C227" s="262" t="s">
        <v>401</v>
      </c>
      <c r="D227" s="392">
        <v>600</v>
      </c>
      <c r="E227" s="174">
        <v>600</v>
      </c>
      <c r="F227" s="174">
        <v>600</v>
      </c>
      <c r="G227" s="174">
        <v>950</v>
      </c>
      <c r="H227" s="174">
        <v>950</v>
      </c>
      <c r="I227" s="174">
        <v>950</v>
      </c>
      <c r="J227" s="174">
        <f t="shared" si="59"/>
        <v>1550</v>
      </c>
      <c r="K227" s="174">
        <f t="shared" si="60"/>
        <v>1550</v>
      </c>
      <c r="L227" s="174">
        <f t="shared" si="61"/>
        <v>1550</v>
      </c>
      <c r="M227" s="233">
        <v>33.333333333333336</v>
      </c>
      <c r="N227" s="233">
        <v>33.333333333333336</v>
      </c>
      <c r="O227" s="233">
        <v>33.333333333333336</v>
      </c>
      <c r="P227" s="233">
        <f t="shared" si="62"/>
        <v>1550</v>
      </c>
      <c r="Q227" s="233">
        <f t="shared" si="48"/>
        <v>-6</v>
      </c>
      <c r="R227" s="234">
        <f>P227-Q227</f>
        <v>1556</v>
      </c>
    </row>
    <row r="228" spans="2:18" ht="12" customHeight="1">
      <c r="B228" s="274">
        <v>3</v>
      </c>
      <c r="C228" s="270" t="s">
        <v>168</v>
      </c>
      <c r="D228" s="392">
        <v>600</v>
      </c>
      <c r="E228" s="174">
        <v>600</v>
      </c>
      <c r="F228" s="174">
        <v>600</v>
      </c>
      <c r="G228" s="174">
        <v>950</v>
      </c>
      <c r="H228" s="174">
        <v>950</v>
      </c>
      <c r="I228" s="174">
        <v>950</v>
      </c>
      <c r="J228" s="174">
        <f t="shared" si="59"/>
        <v>1550</v>
      </c>
      <c r="K228" s="174">
        <f t="shared" si="60"/>
        <v>1550</v>
      </c>
      <c r="L228" s="174">
        <f t="shared" si="61"/>
        <v>1550</v>
      </c>
      <c r="M228" s="233">
        <v>33.333333333333336</v>
      </c>
      <c r="N228" s="233">
        <v>33.333333333333336</v>
      </c>
      <c r="O228" s="233">
        <v>33.333333333333336</v>
      </c>
      <c r="P228" s="233">
        <f t="shared" si="62"/>
        <v>1550</v>
      </c>
      <c r="Q228" s="233">
        <f t="shared" si="48"/>
        <v>-6</v>
      </c>
      <c r="R228" s="234">
        <f t="shared" ref="R228" si="64">P228-Q228</f>
        <v>1556</v>
      </c>
    </row>
    <row r="229" spans="2:18" s="553" customFormat="1" ht="12" customHeight="1">
      <c r="B229" s="274">
        <v>4</v>
      </c>
      <c r="C229" s="270" t="s">
        <v>169</v>
      </c>
      <c r="D229" s="174">
        <v>600</v>
      </c>
      <c r="E229" s="174">
        <v>600</v>
      </c>
      <c r="F229" s="174">
        <v>600</v>
      </c>
      <c r="G229" s="174">
        <v>7050</v>
      </c>
      <c r="H229" s="174">
        <v>7050</v>
      </c>
      <c r="I229" s="174">
        <v>7050</v>
      </c>
      <c r="J229" s="174">
        <f t="shared" si="59"/>
        <v>7650</v>
      </c>
      <c r="K229" s="174">
        <f t="shared" si="60"/>
        <v>7650</v>
      </c>
      <c r="L229" s="174">
        <f t="shared" si="61"/>
        <v>7650</v>
      </c>
      <c r="M229" s="233">
        <v>33.333333333333336</v>
      </c>
      <c r="N229" s="233">
        <v>33.333333333333336</v>
      </c>
      <c r="O229" s="233">
        <v>33.333333333333336</v>
      </c>
      <c r="P229" s="233">
        <f t="shared" si="62"/>
        <v>7650.0000000000009</v>
      </c>
      <c r="Q229" s="233">
        <f t="shared" si="48"/>
        <v>-6</v>
      </c>
      <c r="R229" s="234">
        <f>P229-Q229</f>
        <v>7656.0000000000009</v>
      </c>
    </row>
    <row r="230" spans="2:18" s="553" customFormat="1" ht="12" customHeight="1">
      <c r="B230" s="274">
        <v>5</v>
      </c>
      <c r="C230" s="270" t="s">
        <v>160</v>
      </c>
      <c r="D230" s="174">
        <v>600</v>
      </c>
      <c r="E230" s="174">
        <v>600</v>
      </c>
      <c r="F230" s="174">
        <v>600</v>
      </c>
      <c r="G230" s="174">
        <v>7050</v>
      </c>
      <c r="H230" s="174">
        <v>7050</v>
      </c>
      <c r="I230" s="174">
        <v>7050</v>
      </c>
      <c r="J230" s="174">
        <f t="shared" si="59"/>
        <v>7650</v>
      </c>
      <c r="K230" s="174">
        <f t="shared" si="60"/>
        <v>7650</v>
      </c>
      <c r="L230" s="174">
        <f t="shared" si="61"/>
        <v>7650</v>
      </c>
      <c r="M230" s="233">
        <v>33.333333333333336</v>
      </c>
      <c r="N230" s="233">
        <v>33.333333333333336</v>
      </c>
      <c r="O230" s="233">
        <v>33.333333333333336</v>
      </c>
      <c r="P230" s="233">
        <f t="shared" si="62"/>
        <v>7650.0000000000009</v>
      </c>
      <c r="Q230" s="233">
        <f t="shared" si="48"/>
        <v>-6</v>
      </c>
      <c r="R230" s="234">
        <f t="shared" ref="R230:R238" si="65">P230-Q230</f>
        <v>7656.0000000000009</v>
      </c>
    </row>
    <row r="231" spans="2:18" s="553" customFormat="1" ht="12" customHeight="1">
      <c r="B231" s="274">
        <v>6</v>
      </c>
      <c r="C231" s="270" t="s">
        <v>161</v>
      </c>
      <c r="D231" s="174">
        <v>600</v>
      </c>
      <c r="E231" s="174">
        <v>600</v>
      </c>
      <c r="F231" s="174">
        <v>600</v>
      </c>
      <c r="G231" s="174">
        <v>7050</v>
      </c>
      <c r="H231" s="174">
        <v>7050</v>
      </c>
      <c r="I231" s="174">
        <v>7050</v>
      </c>
      <c r="J231" s="174">
        <f t="shared" si="59"/>
        <v>7650</v>
      </c>
      <c r="K231" s="174">
        <f t="shared" si="60"/>
        <v>7650</v>
      </c>
      <c r="L231" s="174">
        <f t="shared" si="61"/>
        <v>7650</v>
      </c>
      <c r="M231" s="233">
        <v>33.333333333333336</v>
      </c>
      <c r="N231" s="233">
        <v>33.333333333333336</v>
      </c>
      <c r="O231" s="233">
        <v>33.333333333333336</v>
      </c>
      <c r="P231" s="233">
        <f t="shared" si="62"/>
        <v>7650.0000000000009</v>
      </c>
      <c r="Q231" s="233">
        <f t="shared" si="48"/>
        <v>-6</v>
      </c>
      <c r="R231" s="234">
        <f t="shared" si="65"/>
        <v>7656.0000000000009</v>
      </c>
    </row>
    <row r="232" spans="2:18" s="553" customFormat="1" ht="12" customHeight="1">
      <c r="B232" s="274">
        <v>7</v>
      </c>
      <c r="C232" s="270" t="s">
        <v>162</v>
      </c>
      <c r="D232" s="174">
        <v>600</v>
      </c>
      <c r="E232" s="174">
        <v>600</v>
      </c>
      <c r="F232" s="174">
        <v>600</v>
      </c>
      <c r="G232" s="174">
        <v>5250</v>
      </c>
      <c r="H232" s="174">
        <v>5250</v>
      </c>
      <c r="I232" s="174">
        <v>5250</v>
      </c>
      <c r="J232" s="174">
        <f t="shared" si="59"/>
        <v>5850</v>
      </c>
      <c r="K232" s="174">
        <f t="shared" si="60"/>
        <v>5850</v>
      </c>
      <c r="L232" s="174">
        <f t="shared" si="61"/>
        <v>5850</v>
      </c>
      <c r="M232" s="233">
        <v>33.333333333333336</v>
      </c>
      <c r="N232" s="233">
        <v>33.333333333333336</v>
      </c>
      <c r="O232" s="233">
        <v>33.333333333333336</v>
      </c>
      <c r="P232" s="233">
        <f t="shared" si="62"/>
        <v>5850</v>
      </c>
      <c r="Q232" s="233">
        <f t="shared" si="48"/>
        <v>-6</v>
      </c>
      <c r="R232" s="234">
        <f t="shared" si="65"/>
        <v>5856</v>
      </c>
    </row>
    <row r="233" spans="2:18" s="553" customFormat="1" ht="12" customHeight="1">
      <c r="B233" s="274">
        <v>8</v>
      </c>
      <c r="C233" s="270" t="s">
        <v>163</v>
      </c>
      <c r="D233" s="174">
        <v>600</v>
      </c>
      <c r="E233" s="174">
        <v>600</v>
      </c>
      <c r="F233" s="174">
        <v>600</v>
      </c>
      <c r="G233" s="174">
        <v>5250</v>
      </c>
      <c r="H233" s="174">
        <v>5250</v>
      </c>
      <c r="I233" s="174">
        <v>5250</v>
      </c>
      <c r="J233" s="174">
        <f t="shared" si="59"/>
        <v>5850</v>
      </c>
      <c r="K233" s="174">
        <f t="shared" si="60"/>
        <v>5850</v>
      </c>
      <c r="L233" s="174">
        <f t="shared" si="61"/>
        <v>5850</v>
      </c>
      <c r="M233" s="233">
        <v>33.333333333333336</v>
      </c>
      <c r="N233" s="233">
        <v>33.333333333333336</v>
      </c>
      <c r="O233" s="233">
        <v>33.333333333333336</v>
      </c>
      <c r="P233" s="233">
        <f t="shared" si="62"/>
        <v>5850</v>
      </c>
      <c r="Q233" s="233">
        <f t="shared" si="48"/>
        <v>-6</v>
      </c>
      <c r="R233" s="234">
        <f t="shared" si="65"/>
        <v>5856</v>
      </c>
    </row>
    <row r="234" spans="2:18" s="553" customFormat="1" ht="12" customHeight="1">
      <c r="B234" s="274">
        <v>9</v>
      </c>
      <c r="C234" s="270" t="s">
        <v>164</v>
      </c>
      <c r="D234" s="174">
        <v>600</v>
      </c>
      <c r="E234" s="174">
        <v>600</v>
      </c>
      <c r="F234" s="174">
        <v>600</v>
      </c>
      <c r="G234" s="174">
        <v>5250</v>
      </c>
      <c r="H234" s="174">
        <v>5250</v>
      </c>
      <c r="I234" s="174">
        <v>5250</v>
      </c>
      <c r="J234" s="174">
        <f t="shared" si="59"/>
        <v>5850</v>
      </c>
      <c r="K234" s="174">
        <f t="shared" si="60"/>
        <v>5850</v>
      </c>
      <c r="L234" s="174">
        <f t="shared" si="61"/>
        <v>5850</v>
      </c>
      <c r="M234" s="233">
        <v>33.333333333333336</v>
      </c>
      <c r="N234" s="233">
        <v>33.333333333333336</v>
      </c>
      <c r="O234" s="233">
        <v>33.333333333333336</v>
      </c>
      <c r="P234" s="233">
        <f t="shared" si="62"/>
        <v>5850</v>
      </c>
      <c r="Q234" s="233">
        <f t="shared" si="48"/>
        <v>-6</v>
      </c>
      <c r="R234" s="234">
        <f t="shared" si="65"/>
        <v>5856</v>
      </c>
    </row>
    <row r="235" spans="2:18" s="553" customFormat="1" ht="12" customHeight="1">
      <c r="B235" s="274">
        <v>10</v>
      </c>
      <c r="C235" s="270" t="s">
        <v>165</v>
      </c>
      <c r="D235" s="174">
        <v>600</v>
      </c>
      <c r="E235" s="174">
        <v>600</v>
      </c>
      <c r="F235" s="174">
        <v>600</v>
      </c>
      <c r="G235" s="174">
        <v>1050</v>
      </c>
      <c r="H235" s="174">
        <v>1050</v>
      </c>
      <c r="I235" s="174">
        <v>1050</v>
      </c>
      <c r="J235" s="174">
        <f t="shared" si="59"/>
        <v>1650</v>
      </c>
      <c r="K235" s="174">
        <f t="shared" si="60"/>
        <v>1650</v>
      </c>
      <c r="L235" s="174">
        <f t="shared" si="61"/>
        <v>1650</v>
      </c>
      <c r="M235" s="233">
        <v>33.333333333333336</v>
      </c>
      <c r="N235" s="233">
        <v>33.333333333333336</v>
      </c>
      <c r="O235" s="233">
        <v>33.333333333333336</v>
      </c>
      <c r="P235" s="233">
        <f t="shared" si="62"/>
        <v>1650.0000000000002</v>
      </c>
      <c r="Q235" s="233">
        <f t="shared" si="48"/>
        <v>-6</v>
      </c>
      <c r="R235" s="234">
        <f t="shared" si="65"/>
        <v>1656.0000000000002</v>
      </c>
    </row>
    <row r="236" spans="2:18" s="553" customFormat="1" ht="12" customHeight="1">
      <c r="B236" s="274">
        <v>11</v>
      </c>
      <c r="C236" s="270" t="s">
        <v>166</v>
      </c>
      <c r="D236" s="174">
        <v>600</v>
      </c>
      <c r="E236" s="174">
        <v>600</v>
      </c>
      <c r="F236" s="174">
        <v>600</v>
      </c>
      <c r="G236" s="174">
        <v>1050</v>
      </c>
      <c r="H236" s="174">
        <v>1050</v>
      </c>
      <c r="I236" s="174">
        <v>1050</v>
      </c>
      <c r="J236" s="174">
        <f t="shared" si="59"/>
        <v>1650</v>
      </c>
      <c r="K236" s="174">
        <f t="shared" si="60"/>
        <v>1650</v>
      </c>
      <c r="L236" s="174">
        <f t="shared" si="61"/>
        <v>1650</v>
      </c>
      <c r="M236" s="233">
        <v>33.333333333333336</v>
      </c>
      <c r="N236" s="233">
        <v>33.333333333333336</v>
      </c>
      <c r="O236" s="233">
        <v>33.333333333333336</v>
      </c>
      <c r="P236" s="233">
        <f t="shared" si="62"/>
        <v>1650.0000000000002</v>
      </c>
      <c r="Q236" s="233">
        <f t="shared" si="48"/>
        <v>-6</v>
      </c>
      <c r="R236" s="234">
        <f t="shared" si="65"/>
        <v>1656.0000000000002</v>
      </c>
    </row>
    <row r="237" spans="2:18" s="553" customFormat="1" ht="12" customHeight="1">
      <c r="B237" s="398">
        <v>12</v>
      </c>
      <c r="C237" s="271" t="s">
        <v>167</v>
      </c>
      <c r="D237" s="393">
        <v>600</v>
      </c>
      <c r="E237" s="181">
        <v>600</v>
      </c>
      <c r="F237" s="181">
        <v>600</v>
      </c>
      <c r="G237" s="181">
        <v>1050</v>
      </c>
      <c r="H237" s="181">
        <v>1050</v>
      </c>
      <c r="I237" s="181">
        <v>1050</v>
      </c>
      <c r="J237" s="181">
        <f t="shared" si="59"/>
        <v>1650</v>
      </c>
      <c r="K237" s="181">
        <f t="shared" si="60"/>
        <v>1650</v>
      </c>
      <c r="L237" s="181">
        <f t="shared" si="61"/>
        <v>1650</v>
      </c>
      <c r="M237" s="235">
        <v>33.333333333333336</v>
      </c>
      <c r="N237" s="235">
        <v>33.333333333333336</v>
      </c>
      <c r="O237" s="235">
        <v>33.333333333333336</v>
      </c>
      <c r="P237" s="235">
        <f t="shared" si="62"/>
        <v>1650.0000000000002</v>
      </c>
      <c r="Q237" s="235">
        <f t="shared" si="48"/>
        <v>-6</v>
      </c>
      <c r="R237" s="236">
        <f t="shared" si="65"/>
        <v>1656.0000000000002</v>
      </c>
    </row>
    <row r="238" spans="2:18" ht="12" customHeight="1">
      <c r="B238" s="531" t="s">
        <v>415</v>
      </c>
      <c r="C238" s="262" t="s">
        <v>416</v>
      </c>
      <c r="D238" s="455">
        <v>600</v>
      </c>
      <c r="E238" s="174">
        <v>600</v>
      </c>
      <c r="F238" s="174">
        <v>600</v>
      </c>
      <c r="G238" s="174">
        <v>0</v>
      </c>
      <c r="H238" s="174">
        <v>0</v>
      </c>
      <c r="I238" s="174">
        <v>0</v>
      </c>
      <c r="J238" s="174">
        <f t="shared" ref="J238:J261" si="66">D238+G238</f>
        <v>600</v>
      </c>
      <c r="K238" s="174">
        <f t="shared" ref="K238:K261" si="67">E238+H238</f>
        <v>600</v>
      </c>
      <c r="L238" s="174">
        <f t="shared" ref="L238:L261" si="68">F238+I238</f>
        <v>600</v>
      </c>
      <c r="M238" s="233">
        <v>33.333333333333336</v>
      </c>
      <c r="N238" s="233">
        <v>33.333333333333336</v>
      </c>
      <c r="O238" s="233">
        <v>33.333333333333336</v>
      </c>
      <c r="P238" s="233">
        <f t="shared" ref="P238:P261" si="69">(J238*M238+K238*N238+L238*O238)/100</f>
        <v>600</v>
      </c>
      <c r="Q238" s="233">
        <f t="shared" si="48"/>
        <v>-6</v>
      </c>
      <c r="R238" s="234">
        <f t="shared" si="65"/>
        <v>606</v>
      </c>
    </row>
    <row r="239" spans="2:18" ht="12" customHeight="1">
      <c r="B239" s="265" t="s">
        <v>401</v>
      </c>
      <c r="C239" s="262" t="s">
        <v>401</v>
      </c>
      <c r="D239" s="455">
        <v>600</v>
      </c>
      <c r="E239" s="174">
        <v>600</v>
      </c>
      <c r="F239" s="174">
        <v>600</v>
      </c>
      <c r="G239" s="174">
        <v>0</v>
      </c>
      <c r="H239" s="174">
        <v>0</v>
      </c>
      <c r="I239" s="174">
        <v>0</v>
      </c>
      <c r="J239" s="174">
        <f t="shared" si="66"/>
        <v>600</v>
      </c>
      <c r="K239" s="174">
        <f t="shared" si="67"/>
        <v>600</v>
      </c>
      <c r="L239" s="174">
        <f t="shared" si="68"/>
        <v>600</v>
      </c>
      <c r="M239" s="233">
        <v>33.333333333333336</v>
      </c>
      <c r="N239" s="233">
        <v>33.333333333333336</v>
      </c>
      <c r="O239" s="233">
        <v>33.333333333333336</v>
      </c>
      <c r="P239" s="233">
        <f t="shared" si="69"/>
        <v>600</v>
      </c>
      <c r="Q239" s="233">
        <f t="shared" si="48"/>
        <v>-6</v>
      </c>
      <c r="R239" s="234">
        <f>P239-Q239</f>
        <v>606</v>
      </c>
    </row>
    <row r="240" spans="2:18" ht="12" customHeight="1">
      <c r="B240" s="274">
        <v>3</v>
      </c>
      <c r="C240" s="270" t="s">
        <v>168</v>
      </c>
      <c r="D240" s="455">
        <v>600</v>
      </c>
      <c r="E240" s="174">
        <v>600</v>
      </c>
      <c r="F240" s="174">
        <v>600</v>
      </c>
      <c r="G240" s="174">
        <v>0</v>
      </c>
      <c r="H240" s="174">
        <v>0</v>
      </c>
      <c r="I240" s="174">
        <v>0</v>
      </c>
      <c r="J240" s="174">
        <f t="shared" si="66"/>
        <v>600</v>
      </c>
      <c r="K240" s="174">
        <f t="shared" si="67"/>
        <v>600</v>
      </c>
      <c r="L240" s="174">
        <f t="shared" si="68"/>
        <v>600</v>
      </c>
      <c r="M240" s="233">
        <v>33.333333333333336</v>
      </c>
      <c r="N240" s="233">
        <v>33.333333333333336</v>
      </c>
      <c r="O240" s="233">
        <v>33.333333333333336</v>
      </c>
      <c r="P240" s="233">
        <f t="shared" si="69"/>
        <v>600</v>
      </c>
      <c r="Q240" s="233">
        <f t="shared" si="48"/>
        <v>-6</v>
      </c>
      <c r="R240" s="234">
        <f t="shared" ref="R240" si="70">P240-Q240</f>
        <v>606</v>
      </c>
    </row>
    <row r="241" spans="2:18" s="553" customFormat="1" ht="12" customHeight="1">
      <c r="B241" s="274">
        <v>4</v>
      </c>
      <c r="C241" s="270" t="s">
        <v>169</v>
      </c>
      <c r="D241" s="455">
        <v>800</v>
      </c>
      <c r="E241" s="174">
        <v>800</v>
      </c>
      <c r="F241" s="174">
        <v>800</v>
      </c>
      <c r="G241" s="174">
        <v>0</v>
      </c>
      <c r="H241" s="174">
        <v>0</v>
      </c>
      <c r="I241" s="174">
        <v>0</v>
      </c>
      <c r="J241" s="174">
        <f t="shared" si="66"/>
        <v>800</v>
      </c>
      <c r="K241" s="174">
        <f t="shared" si="67"/>
        <v>800</v>
      </c>
      <c r="L241" s="174">
        <f t="shared" si="68"/>
        <v>800</v>
      </c>
      <c r="M241" s="233">
        <v>33.333333333333336</v>
      </c>
      <c r="N241" s="233">
        <v>33.333333333333336</v>
      </c>
      <c r="O241" s="233">
        <v>33.333333333333336</v>
      </c>
      <c r="P241" s="233">
        <f t="shared" si="69"/>
        <v>800</v>
      </c>
      <c r="Q241" s="233">
        <f t="shared" si="48"/>
        <v>-6</v>
      </c>
      <c r="R241" s="234">
        <f>P241-Q241</f>
        <v>806</v>
      </c>
    </row>
    <row r="242" spans="2:18" s="553" customFormat="1" ht="12" customHeight="1">
      <c r="B242" s="274">
        <v>5</v>
      </c>
      <c r="C242" s="270" t="s">
        <v>160</v>
      </c>
      <c r="D242" s="455">
        <v>800</v>
      </c>
      <c r="E242" s="174">
        <v>800</v>
      </c>
      <c r="F242" s="174">
        <v>800</v>
      </c>
      <c r="G242" s="174">
        <v>0</v>
      </c>
      <c r="H242" s="174">
        <v>0</v>
      </c>
      <c r="I242" s="174">
        <v>0</v>
      </c>
      <c r="J242" s="174">
        <f t="shared" si="66"/>
        <v>800</v>
      </c>
      <c r="K242" s="174">
        <f t="shared" si="67"/>
        <v>800</v>
      </c>
      <c r="L242" s="174">
        <f t="shared" si="68"/>
        <v>800</v>
      </c>
      <c r="M242" s="233">
        <v>33.333333333333336</v>
      </c>
      <c r="N242" s="233">
        <v>33.333333333333336</v>
      </c>
      <c r="O242" s="233">
        <v>33.333333333333336</v>
      </c>
      <c r="P242" s="233">
        <f t="shared" si="69"/>
        <v>800</v>
      </c>
      <c r="Q242" s="233">
        <f t="shared" si="48"/>
        <v>-6</v>
      </c>
      <c r="R242" s="234">
        <f t="shared" ref="R242:R261" si="71">P242-Q242</f>
        <v>806</v>
      </c>
    </row>
    <row r="243" spans="2:18" s="553" customFormat="1" ht="12" customHeight="1">
      <c r="B243" s="274">
        <v>6</v>
      </c>
      <c r="C243" s="270" t="s">
        <v>161</v>
      </c>
      <c r="D243" s="455">
        <v>800</v>
      </c>
      <c r="E243" s="174">
        <v>800</v>
      </c>
      <c r="F243" s="174">
        <v>800</v>
      </c>
      <c r="G243" s="174">
        <v>0</v>
      </c>
      <c r="H243" s="174">
        <v>0</v>
      </c>
      <c r="I243" s="174">
        <v>0</v>
      </c>
      <c r="J243" s="174">
        <f t="shared" si="66"/>
        <v>800</v>
      </c>
      <c r="K243" s="174">
        <f t="shared" si="67"/>
        <v>800</v>
      </c>
      <c r="L243" s="174">
        <f t="shared" si="68"/>
        <v>800</v>
      </c>
      <c r="M243" s="233">
        <v>33.333333333333336</v>
      </c>
      <c r="N243" s="233">
        <v>33.333333333333336</v>
      </c>
      <c r="O243" s="233">
        <v>33.333333333333336</v>
      </c>
      <c r="P243" s="233">
        <f t="shared" si="69"/>
        <v>800</v>
      </c>
      <c r="Q243" s="233">
        <f t="shared" si="48"/>
        <v>-6</v>
      </c>
      <c r="R243" s="234">
        <f t="shared" si="71"/>
        <v>806</v>
      </c>
    </row>
    <row r="244" spans="2:18" s="553" customFormat="1" ht="12" customHeight="1">
      <c r="B244" s="274">
        <v>7</v>
      </c>
      <c r="C244" s="270" t="s">
        <v>162</v>
      </c>
      <c r="D244" s="455">
        <v>800</v>
      </c>
      <c r="E244" s="174">
        <v>800</v>
      </c>
      <c r="F244" s="174">
        <v>800</v>
      </c>
      <c r="G244" s="174">
        <v>0</v>
      </c>
      <c r="H244" s="174">
        <v>0</v>
      </c>
      <c r="I244" s="174">
        <v>0</v>
      </c>
      <c r="J244" s="174">
        <f t="shared" si="66"/>
        <v>800</v>
      </c>
      <c r="K244" s="174">
        <f t="shared" si="67"/>
        <v>800</v>
      </c>
      <c r="L244" s="174">
        <f t="shared" si="68"/>
        <v>800</v>
      </c>
      <c r="M244" s="233">
        <v>33.333333333333336</v>
      </c>
      <c r="N244" s="233">
        <v>33.333333333333336</v>
      </c>
      <c r="O244" s="233">
        <v>33.333333333333336</v>
      </c>
      <c r="P244" s="233">
        <f t="shared" si="69"/>
        <v>800</v>
      </c>
      <c r="Q244" s="233">
        <f t="shared" si="48"/>
        <v>-6</v>
      </c>
      <c r="R244" s="234">
        <f t="shared" si="71"/>
        <v>806</v>
      </c>
    </row>
    <row r="245" spans="2:18" s="553" customFormat="1" ht="12" customHeight="1">
      <c r="B245" s="274">
        <v>8</v>
      </c>
      <c r="C245" s="270" t="s">
        <v>163</v>
      </c>
      <c r="D245" s="455">
        <v>800</v>
      </c>
      <c r="E245" s="174">
        <v>800</v>
      </c>
      <c r="F245" s="174">
        <v>800</v>
      </c>
      <c r="G245" s="174">
        <v>0</v>
      </c>
      <c r="H245" s="174">
        <v>0</v>
      </c>
      <c r="I245" s="174">
        <v>0</v>
      </c>
      <c r="J245" s="174">
        <f t="shared" si="66"/>
        <v>800</v>
      </c>
      <c r="K245" s="174">
        <f t="shared" si="67"/>
        <v>800</v>
      </c>
      <c r="L245" s="174">
        <f t="shared" si="68"/>
        <v>800</v>
      </c>
      <c r="M245" s="233">
        <v>33.333333333333336</v>
      </c>
      <c r="N245" s="233">
        <v>33.333333333333336</v>
      </c>
      <c r="O245" s="233">
        <v>33.333333333333336</v>
      </c>
      <c r="P245" s="233">
        <f t="shared" si="69"/>
        <v>800</v>
      </c>
      <c r="Q245" s="233">
        <f t="shared" si="48"/>
        <v>-6</v>
      </c>
      <c r="R245" s="234">
        <f t="shared" si="71"/>
        <v>806</v>
      </c>
    </row>
    <row r="246" spans="2:18" s="553" customFormat="1" ht="12" customHeight="1">
      <c r="B246" s="274">
        <v>9</v>
      </c>
      <c r="C246" s="270" t="s">
        <v>164</v>
      </c>
      <c r="D246" s="455">
        <v>800</v>
      </c>
      <c r="E246" s="174">
        <v>800</v>
      </c>
      <c r="F246" s="174">
        <v>800</v>
      </c>
      <c r="G246" s="174">
        <v>0</v>
      </c>
      <c r="H246" s="174">
        <v>0</v>
      </c>
      <c r="I246" s="174">
        <v>0</v>
      </c>
      <c r="J246" s="174">
        <f t="shared" si="66"/>
        <v>800</v>
      </c>
      <c r="K246" s="174">
        <f t="shared" si="67"/>
        <v>800</v>
      </c>
      <c r="L246" s="174">
        <f t="shared" si="68"/>
        <v>800</v>
      </c>
      <c r="M246" s="233">
        <v>33.333333333333336</v>
      </c>
      <c r="N246" s="233">
        <v>33.333333333333336</v>
      </c>
      <c r="O246" s="233">
        <v>33.333333333333336</v>
      </c>
      <c r="P246" s="233">
        <f t="shared" si="69"/>
        <v>800</v>
      </c>
      <c r="Q246" s="233">
        <f t="shared" ref="Q246:Q261" si="72">$J$269</f>
        <v>-6</v>
      </c>
      <c r="R246" s="234">
        <f t="shared" si="71"/>
        <v>806</v>
      </c>
    </row>
    <row r="247" spans="2:18" s="553" customFormat="1" ht="12" customHeight="1">
      <c r="B247" s="274">
        <v>10</v>
      </c>
      <c r="C247" s="270" t="s">
        <v>165</v>
      </c>
      <c r="D247" s="455">
        <v>800</v>
      </c>
      <c r="E247" s="174">
        <v>800</v>
      </c>
      <c r="F247" s="174">
        <v>800</v>
      </c>
      <c r="G247" s="174">
        <v>0</v>
      </c>
      <c r="H247" s="174">
        <v>0</v>
      </c>
      <c r="I247" s="174">
        <v>0</v>
      </c>
      <c r="J247" s="174">
        <f t="shared" si="66"/>
        <v>800</v>
      </c>
      <c r="K247" s="174">
        <f t="shared" si="67"/>
        <v>800</v>
      </c>
      <c r="L247" s="174">
        <f t="shared" si="68"/>
        <v>800</v>
      </c>
      <c r="M247" s="233">
        <v>33.333333333333336</v>
      </c>
      <c r="N247" s="233">
        <v>33.333333333333336</v>
      </c>
      <c r="O247" s="233">
        <v>33.333333333333336</v>
      </c>
      <c r="P247" s="233">
        <f t="shared" si="69"/>
        <v>800</v>
      </c>
      <c r="Q247" s="233">
        <f t="shared" si="72"/>
        <v>-6</v>
      </c>
      <c r="R247" s="234">
        <f t="shared" si="71"/>
        <v>806</v>
      </c>
    </row>
    <row r="248" spans="2:18" s="553" customFormat="1" ht="12" customHeight="1">
      <c r="B248" s="274">
        <v>11</v>
      </c>
      <c r="C248" s="270" t="s">
        <v>166</v>
      </c>
      <c r="D248" s="455">
        <v>800</v>
      </c>
      <c r="E248" s="174">
        <v>800</v>
      </c>
      <c r="F248" s="174">
        <v>800</v>
      </c>
      <c r="G248" s="174">
        <v>0</v>
      </c>
      <c r="H248" s="174">
        <v>0</v>
      </c>
      <c r="I248" s="174">
        <v>0</v>
      </c>
      <c r="J248" s="174">
        <f t="shared" si="66"/>
        <v>800</v>
      </c>
      <c r="K248" s="174">
        <f t="shared" si="67"/>
        <v>800</v>
      </c>
      <c r="L248" s="174">
        <f t="shared" si="68"/>
        <v>800</v>
      </c>
      <c r="M248" s="233">
        <v>33.333333333333336</v>
      </c>
      <c r="N248" s="233">
        <v>33.333333333333336</v>
      </c>
      <c r="O248" s="233">
        <v>33.333333333333336</v>
      </c>
      <c r="P248" s="233">
        <f t="shared" si="69"/>
        <v>800</v>
      </c>
      <c r="Q248" s="233">
        <f t="shared" si="72"/>
        <v>-6</v>
      </c>
      <c r="R248" s="234">
        <f t="shared" si="71"/>
        <v>806</v>
      </c>
    </row>
    <row r="249" spans="2:18" s="553" customFormat="1" ht="12" customHeight="1">
      <c r="B249" s="286">
        <v>12</v>
      </c>
      <c r="C249" s="287" t="s">
        <v>167</v>
      </c>
      <c r="D249" s="528">
        <v>800</v>
      </c>
      <c r="E249" s="184">
        <v>800</v>
      </c>
      <c r="F249" s="184">
        <v>800</v>
      </c>
      <c r="G249" s="184">
        <v>0</v>
      </c>
      <c r="H249" s="184">
        <v>0</v>
      </c>
      <c r="I249" s="184">
        <v>0</v>
      </c>
      <c r="J249" s="184">
        <f t="shared" si="66"/>
        <v>800</v>
      </c>
      <c r="K249" s="184">
        <f t="shared" si="67"/>
        <v>800</v>
      </c>
      <c r="L249" s="184">
        <f t="shared" si="68"/>
        <v>800</v>
      </c>
      <c r="M249" s="529">
        <v>33.333333333333336</v>
      </c>
      <c r="N249" s="529">
        <v>33.333333333333336</v>
      </c>
      <c r="O249" s="529">
        <v>33.333333333333336</v>
      </c>
      <c r="P249" s="529">
        <f t="shared" si="69"/>
        <v>800</v>
      </c>
      <c r="Q249" s="529">
        <f t="shared" si="72"/>
        <v>-6</v>
      </c>
      <c r="R249" s="530">
        <f t="shared" si="71"/>
        <v>806</v>
      </c>
    </row>
    <row r="250" spans="2:18" ht="12" customHeight="1">
      <c r="B250" s="531" t="s">
        <v>417</v>
      </c>
      <c r="C250" s="262" t="s">
        <v>418</v>
      </c>
      <c r="D250" s="455">
        <v>800</v>
      </c>
      <c r="E250" s="174">
        <v>800</v>
      </c>
      <c r="F250" s="455">
        <v>800</v>
      </c>
      <c r="G250" s="174">
        <v>0</v>
      </c>
      <c r="H250" s="174">
        <v>0</v>
      </c>
      <c r="I250" s="174">
        <v>0</v>
      </c>
      <c r="J250" s="174">
        <f t="shared" si="66"/>
        <v>800</v>
      </c>
      <c r="K250" s="174">
        <f t="shared" si="67"/>
        <v>800</v>
      </c>
      <c r="L250" s="174">
        <f t="shared" si="68"/>
        <v>800</v>
      </c>
      <c r="M250" s="233">
        <v>33.333333333333336</v>
      </c>
      <c r="N250" s="233">
        <v>33.333333333333336</v>
      </c>
      <c r="O250" s="233">
        <v>33.333333333333336</v>
      </c>
      <c r="P250" s="233">
        <f t="shared" si="69"/>
        <v>800</v>
      </c>
      <c r="Q250" s="233">
        <f t="shared" si="72"/>
        <v>-6</v>
      </c>
      <c r="R250" s="234">
        <f t="shared" si="71"/>
        <v>806</v>
      </c>
    </row>
    <row r="251" spans="2:18" ht="12" customHeight="1">
      <c r="B251" s="531" t="s">
        <v>419</v>
      </c>
      <c r="C251" s="262" t="s">
        <v>419</v>
      </c>
      <c r="D251" s="455">
        <v>800</v>
      </c>
      <c r="E251" s="174">
        <v>800</v>
      </c>
      <c r="F251" s="455">
        <v>800</v>
      </c>
      <c r="G251" s="174">
        <v>0</v>
      </c>
      <c r="H251" s="174">
        <v>0</v>
      </c>
      <c r="I251" s="174">
        <v>0</v>
      </c>
      <c r="J251" s="174">
        <f t="shared" si="66"/>
        <v>800</v>
      </c>
      <c r="K251" s="174">
        <f t="shared" si="67"/>
        <v>800</v>
      </c>
      <c r="L251" s="174">
        <f t="shared" si="68"/>
        <v>800</v>
      </c>
      <c r="M251" s="233">
        <v>33.333333333333336</v>
      </c>
      <c r="N251" s="233">
        <v>33.333333333333336</v>
      </c>
      <c r="O251" s="233">
        <v>33.333333333333336</v>
      </c>
      <c r="P251" s="233">
        <f t="shared" si="69"/>
        <v>800</v>
      </c>
      <c r="Q251" s="233">
        <f t="shared" si="72"/>
        <v>-6</v>
      </c>
      <c r="R251" s="234">
        <f t="shared" si="71"/>
        <v>806</v>
      </c>
    </row>
    <row r="252" spans="2:18" ht="12" customHeight="1">
      <c r="B252" s="531" t="s">
        <v>168</v>
      </c>
      <c r="C252" s="262" t="s">
        <v>168</v>
      </c>
      <c r="D252" s="455">
        <v>800</v>
      </c>
      <c r="E252" s="174">
        <v>800</v>
      </c>
      <c r="F252" s="455">
        <v>800</v>
      </c>
      <c r="G252" s="174">
        <v>0</v>
      </c>
      <c r="H252" s="174">
        <v>0</v>
      </c>
      <c r="I252" s="174">
        <v>0</v>
      </c>
      <c r="J252" s="174">
        <f t="shared" si="66"/>
        <v>800</v>
      </c>
      <c r="K252" s="174">
        <f t="shared" si="67"/>
        <v>800</v>
      </c>
      <c r="L252" s="174">
        <f t="shared" si="68"/>
        <v>800</v>
      </c>
      <c r="M252" s="233">
        <v>33.333333333333336</v>
      </c>
      <c r="N252" s="233">
        <v>33.333333333333336</v>
      </c>
      <c r="O252" s="233">
        <v>33.333333333333336</v>
      </c>
      <c r="P252" s="233">
        <f t="shared" si="69"/>
        <v>800</v>
      </c>
      <c r="Q252" s="233">
        <f t="shared" si="72"/>
        <v>-6</v>
      </c>
      <c r="R252" s="234">
        <f t="shared" si="71"/>
        <v>806</v>
      </c>
    </row>
    <row r="253" spans="2:18" s="553" customFormat="1" ht="12" customHeight="1">
      <c r="B253" s="531" t="s">
        <v>420</v>
      </c>
      <c r="C253" s="262" t="s">
        <v>420</v>
      </c>
      <c r="D253" s="455"/>
      <c r="E253" s="174"/>
      <c r="F253" s="174"/>
      <c r="G253" s="174"/>
      <c r="H253" s="174"/>
      <c r="I253" s="174"/>
      <c r="J253" s="174">
        <f t="shared" si="66"/>
        <v>0</v>
      </c>
      <c r="K253" s="174">
        <f t="shared" si="67"/>
        <v>0</v>
      </c>
      <c r="L253" s="174">
        <f t="shared" si="68"/>
        <v>0</v>
      </c>
      <c r="M253" s="233">
        <v>33.333333333333336</v>
      </c>
      <c r="N253" s="233">
        <v>33.333333333333336</v>
      </c>
      <c r="O253" s="233">
        <v>33.333333333333336</v>
      </c>
      <c r="P253" s="233">
        <f t="shared" si="69"/>
        <v>0</v>
      </c>
      <c r="Q253" s="233">
        <f t="shared" si="72"/>
        <v>-6</v>
      </c>
      <c r="R253" s="234">
        <f t="shared" si="71"/>
        <v>6</v>
      </c>
    </row>
    <row r="254" spans="2:18" s="553" customFormat="1" ht="12" customHeight="1">
      <c r="B254" s="531" t="s">
        <v>160</v>
      </c>
      <c r="C254" s="262" t="s">
        <v>160</v>
      </c>
      <c r="D254" s="455"/>
      <c r="E254" s="174"/>
      <c r="F254" s="174"/>
      <c r="G254" s="174"/>
      <c r="H254" s="174"/>
      <c r="I254" s="174"/>
      <c r="J254" s="174">
        <f t="shared" si="66"/>
        <v>0</v>
      </c>
      <c r="K254" s="174">
        <f t="shared" si="67"/>
        <v>0</v>
      </c>
      <c r="L254" s="174">
        <f t="shared" si="68"/>
        <v>0</v>
      </c>
      <c r="M254" s="233">
        <v>33.333333333333336</v>
      </c>
      <c r="N254" s="233">
        <v>33.333333333333336</v>
      </c>
      <c r="O254" s="233">
        <v>33.333333333333336</v>
      </c>
      <c r="P254" s="233">
        <f t="shared" si="69"/>
        <v>0</v>
      </c>
      <c r="Q254" s="233">
        <f t="shared" si="72"/>
        <v>-6</v>
      </c>
      <c r="R254" s="234">
        <f t="shared" si="71"/>
        <v>6</v>
      </c>
    </row>
    <row r="255" spans="2:18" s="553" customFormat="1" ht="12" customHeight="1">
      <c r="B255" s="531" t="s">
        <v>161</v>
      </c>
      <c r="C255" s="262" t="s">
        <v>161</v>
      </c>
      <c r="D255" s="455"/>
      <c r="E255" s="174"/>
      <c r="F255" s="174"/>
      <c r="G255" s="174"/>
      <c r="H255" s="174"/>
      <c r="I255" s="174"/>
      <c r="J255" s="174">
        <f t="shared" si="66"/>
        <v>0</v>
      </c>
      <c r="K255" s="174">
        <f t="shared" si="67"/>
        <v>0</v>
      </c>
      <c r="L255" s="174">
        <f t="shared" si="68"/>
        <v>0</v>
      </c>
      <c r="M255" s="233">
        <v>33.333333333333336</v>
      </c>
      <c r="N255" s="233">
        <v>33.333333333333336</v>
      </c>
      <c r="O255" s="233">
        <v>33.333333333333336</v>
      </c>
      <c r="P255" s="233">
        <f t="shared" si="69"/>
        <v>0</v>
      </c>
      <c r="Q255" s="233">
        <f t="shared" si="72"/>
        <v>-6</v>
      </c>
      <c r="R255" s="234">
        <f t="shared" si="71"/>
        <v>6</v>
      </c>
    </row>
    <row r="256" spans="2:18" s="553" customFormat="1" ht="12" customHeight="1">
      <c r="B256" s="531" t="s">
        <v>421</v>
      </c>
      <c r="C256" s="262" t="s">
        <v>421</v>
      </c>
      <c r="D256" s="455"/>
      <c r="E256" s="174"/>
      <c r="F256" s="174"/>
      <c r="G256" s="174"/>
      <c r="H256" s="174"/>
      <c r="I256" s="174"/>
      <c r="J256" s="174">
        <f t="shared" si="66"/>
        <v>0</v>
      </c>
      <c r="K256" s="174">
        <f t="shared" si="67"/>
        <v>0</v>
      </c>
      <c r="L256" s="174">
        <f t="shared" si="68"/>
        <v>0</v>
      </c>
      <c r="M256" s="233">
        <v>33.333333333333336</v>
      </c>
      <c r="N256" s="233">
        <v>33.333333333333336</v>
      </c>
      <c r="O256" s="233">
        <v>33.333333333333336</v>
      </c>
      <c r="P256" s="233">
        <f t="shared" si="69"/>
        <v>0</v>
      </c>
      <c r="Q256" s="233">
        <f t="shared" si="72"/>
        <v>-6</v>
      </c>
      <c r="R256" s="234">
        <f t="shared" si="71"/>
        <v>6</v>
      </c>
    </row>
    <row r="257" spans="2:18" s="553" customFormat="1" ht="12" customHeight="1">
      <c r="B257" s="531" t="s">
        <v>422</v>
      </c>
      <c r="C257" s="262" t="s">
        <v>422</v>
      </c>
      <c r="D257" s="455"/>
      <c r="E257" s="174"/>
      <c r="F257" s="174"/>
      <c r="G257" s="174"/>
      <c r="H257" s="174"/>
      <c r="I257" s="174"/>
      <c r="J257" s="174">
        <f t="shared" si="66"/>
        <v>0</v>
      </c>
      <c r="K257" s="174">
        <f t="shared" si="67"/>
        <v>0</v>
      </c>
      <c r="L257" s="174">
        <f t="shared" si="68"/>
        <v>0</v>
      </c>
      <c r="M257" s="233">
        <v>33.333333333333336</v>
      </c>
      <c r="N257" s="233">
        <v>33.333333333333336</v>
      </c>
      <c r="O257" s="233">
        <v>33.333333333333336</v>
      </c>
      <c r="P257" s="233">
        <f t="shared" si="69"/>
        <v>0</v>
      </c>
      <c r="Q257" s="233">
        <f t="shared" si="72"/>
        <v>-6</v>
      </c>
      <c r="R257" s="234">
        <f t="shared" si="71"/>
        <v>6</v>
      </c>
    </row>
    <row r="258" spans="2:18" s="553" customFormat="1" ht="12" customHeight="1">
      <c r="B258" s="531" t="s">
        <v>164</v>
      </c>
      <c r="C258" s="262" t="s">
        <v>164</v>
      </c>
      <c r="D258" s="455"/>
      <c r="E258" s="174"/>
      <c r="F258" s="174"/>
      <c r="G258" s="174"/>
      <c r="H258" s="174"/>
      <c r="I258" s="174"/>
      <c r="J258" s="174">
        <f t="shared" si="66"/>
        <v>0</v>
      </c>
      <c r="K258" s="174">
        <f t="shared" si="67"/>
        <v>0</v>
      </c>
      <c r="L258" s="174">
        <f t="shared" si="68"/>
        <v>0</v>
      </c>
      <c r="M258" s="233">
        <v>33.333333333333336</v>
      </c>
      <c r="N258" s="233">
        <v>33.333333333333336</v>
      </c>
      <c r="O258" s="233">
        <v>33.333333333333336</v>
      </c>
      <c r="P258" s="233">
        <f t="shared" si="69"/>
        <v>0</v>
      </c>
      <c r="Q258" s="233">
        <f t="shared" si="72"/>
        <v>-6</v>
      </c>
      <c r="R258" s="234">
        <f t="shared" si="71"/>
        <v>6</v>
      </c>
    </row>
    <row r="259" spans="2:18" s="553" customFormat="1" ht="12" customHeight="1">
      <c r="B259" s="531" t="s">
        <v>165</v>
      </c>
      <c r="C259" s="262" t="s">
        <v>165</v>
      </c>
      <c r="D259" s="455"/>
      <c r="E259" s="174"/>
      <c r="F259" s="174"/>
      <c r="G259" s="174"/>
      <c r="H259" s="174"/>
      <c r="I259" s="174"/>
      <c r="J259" s="174">
        <f t="shared" si="66"/>
        <v>0</v>
      </c>
      <c r="K259" s="174">
        <f t="shared" si="67"/>
        <v>0</v>
      </c>
      <c r="L259" s="174">
        <f t="shared" si="68"/>
        <v>0</v>
      </c>
      <c r="M259" s="233">
        <v>33.333333333333336</v>
      </c>
      <c r="N259" s="233">
        <v>33.333333333333336</v>
      </c>
      <c r="O259" s="233">
        <v>33.333333333333336</v>
      </c>
      <c r="P259" s="233">
        <f t="shared" si="69"/>
        <v>0</v>
      </c>
      <c r="Q259" s="233">
        <f t="shared" si="72"/>
        <v>-6</v>
      </c>
      <c r="R259" s="234">
        <f t="shared" si="71"/>
        <v>6</v>
      </c>
    </row>
    <row r="260" spans="2:18" s="553" customFormat="1" ht="12" customHeight="1">
      <c r="B260" s="531" t="s">
        <v>166</v>
      </c>
      <c r="C260" s="262" t="s">
        <v>166</v>
      </c>
      <c r="D260" s="455"/>
      <c r="E260" s="174"/>
      <c r="F260" s="174"/>
      <c r="G260" s="174"/>
      <c r="H260" s="174"/>
      <c r="I260" s="174"/>
      <c r="J260" s="174">
        <f t="shared" si="66"/>
        <v>0</v>
      </c>
      <c r="K260" s="174">
        <f t="shared" si="67"/>
        <v>0</v>
      </c>
      <c r="L260" s="174">
        <f t="shared" si="68"/>
        <v>0</v>
      </c>
      <c r="M260" s="233">
        <v>33.333333333333336</v>
      </c>
      <c r="N260" s="233">
        <v>33.333333333333336</v>
      </c>
      <c r="O260" s="233">
        <v>33.333333333333336</v>
      </c>
      <c r="P260" s="233">
        <f t="shared" si="69"/>
        <v>0</v>
      </c>
      <c r="Q260" s="233">
        <f t="shared" si="72"/>
        <v>-6</v>
      </c>
      <c r="R260" s="234">
        <f t="shared" si="71"/>
        <v>6</v>
      </c>
    </row>
    <row r="261" spans="2:18" s="553" customFormat="1" ht="12" customHeight="1">
      <c r="B261" s="452" t="s">
        <v>167</v>
      </c>
      <c r="C261" s="267" t="s">
        <v>167</v>
      </c>
      <c r="D261" s="528"/>
      <c r="E261" s="184"/>
      <c r="F261" s="184"/>
      <c r="G261" s="184"/>
      <c r="H261" s="184"/>
      <c r="I261" s="184"/>
      <c r="J261" s="184">
        <f t="shared" si="66"/>
        <v>0</v>
      </c>
      <c r="K261" s="184">
        <f t="shared" si="67"/>
        <v>0</v>
      </c>
      <c r="L261" s="184">
        <f t="shared" si="68"/>
        <v>0</v>
      </c>
      <c r="M261" s="529">
        <v>33.333333333333336</v>
      </c>
      <c r="N261" s="529">
        <v>33.333333333333336</v>
      </c>
      <c r="O261" s="529">
        <v>33.333333333333336</v>
      </c>
      <c r="P261" s="529">
        <f t="shared" si="69"/>
        <v>0</v>
      </c>
      <c r="Q261" s="529">
        <f t="shared" si="72"/>
        <v>-6</v>
      </c>
      <c r="R261" s="530">
        <f t="shared" si="71"/>
        <v>6</v>
      </c>
    </row>
    <row r="263" spans="2:18" ht="12" customHeight="1">
      <c r="J263" s="89" t="s">
        <v>123</v>
      </c>
    </row>
    <row r="264" spans="2:18" ht="12" customHeight="1">
      <c r="B264" s="720" t="s">
        <v>170</v>
      </c>
      <c r="C264" s="721"/>
      <c r="D264" s="721"/>
      <c r="E264" s="721"/>
      <c r="F264" s="282" t="s">
        <v>124</v>
      </c>
      <c r="G264" s="283" t="s">
        <v>134</v>
      </c>
      <c r="H264" s="283" t="s">
        <v>135</v>
      </c>
      <c r="I264" s="284" t="s">
        <v>136</v>
      </c>
      <c r="J264" s="285" t="s">
        <v>137</v>
      </c>
    </row>
    <row r="265" spans="2:18" ht="12" customHeight="1">
      <c r="B265" s="722">
        <v>2000</v>
      </c>
      <c r="C265" s="723"/>
      <c r="D265" s="726" t="s">
        <v>330</v>
      </c>
      <c r="E265" s="727"/>
      <c r="F265" s="212">
        <v>500</v>
      </c>
      <c r="G265" s="213">
        <v>0</v>
      </c>
      <c r="H265" s="213">
        <v>0</v>
      </c>
      <c r="I265" s="213">
        <v>0</v>
      </c>
      <c r="J265" s="214">
        <v>500</v>
      </c>
    </row>
    <row r="266" spans="2:18" ht="12" customHeight="1">
      <c r="B266" s="722"/>
      <c r="C266" s="723"/>
      <c r="D266" s="728" t="s">
        <v>331</v>
      </c>
      <c r="E266" s="729"/>
      <c r="F266" s="215">
        <v>500</v>
      </c>
      <c r="G266" s="216">
        <v>0</v>
      </c>
      <c r="H266" s="216">
        <v>-1025</v>
      </c>
      <c r="I266" s="216">
        <v>-1025</v>
      </c>
      <c r="J266" s="217">
        <v>-525</v>
      </c>
      <c r="M266" s="218"/>
      <c r="N266" s="218"/>
      <c r="O266" s="218"/>
    </row>
    <row r="267" spans="2:18" ht="12" customHeight="1">
      <c r="B267" s="722"/>
      <c r="C267" s="723"/>
      <c r="D267" s="728" t="s">
        <v>332</v>
      </c>
      <c r="E267" s="729"/>
      <c r="F267" s="215">
        <v>500</v>
      </c>
      <c r="G267" s="216">
        <v>0</v>
      </c>
      <c r="H267" s="216">
        <v>-500</v>
      </c>
      <c r="I267" s="216">
        <v>-500</v>
      </c>
      <c r="J267" s="217">
        <v>0</v>
      </c>
      <c r="M267" s="218"/>
      <c r="N267" s="218"/>
      <c r="O267" s="218"/>
    </row>
    <row r="268" spans="2:18" ht="12" customHeight="1">
      <c r="B268" s="724"/>
      <c r="C268" s="725"/>
      <c r="D268" s="728" t="s">
        <v>333</v>
      </c>
      <c r="E268" s="729"/>
      <c r="F268" s="215">
        <v>0</v>
      </c>
      <c r="G268" s="216">
        <v>0</v>
      </c>
      <c r="H268" s="216">
        <v>0</v>
      </c>
      <c r="I268" s="216">
        <v>0</v>
      </c>
      <c r="J268" s="217">
        <v>0</v>
      </c>
      <c r="M268" s="218"/>
      <c r="N268" s="218"/>
      <c r="O268" s="218"/>
    </row>
    <row r="269" spans="2:18" ht="12" customHeight="1">
      <c r="B269" s="718" t="s">
        <v>145</v>
      </c>
      <c r="C269" s="719"/>
      <c r="D269" s="719"/>
      <c r="E269" s="719"/>
      <c r="F269" s="219">
        <v>375</v>
      </c>
      <c r="G269" s="220">
        <v>0</v>
      </c>
      <c r="H269" s="220">
        <v>-381</v>
      </c>
      <c r="I269" s="220">
        <v>-381</v>
      </c>
      <c r="J269" s="221">
        <v>-6</v>
      </c>
      <c r="L269" s="222"/>
      <c r="M269" s="218"/>
      <c r="N269" s="218"/>
      <c r="O269" s="218"/>
    </row>
    <row r="270" spans="2:18" ht="12" customHeight="1">
      <c r="B270" s="87" t="s">
        <v>316</v>
      </c>
      <c r="C270" s="223"/>
      <c r="D270" s="223"/>
      <c r="E270" s="223"/>
      <c r="F270" s="224"/>
      <c r="G270" s="224"/>
      <c r="H270" s="224"/>
      <c r="I270" s="224"/>
      <c r="J270" s="224"/>
      <c r="L270" s="222"/>
      <c r="M270" s="218"/>
      <c r="N270" s="218"/>
      <c r="O270" s="218"/>
    </row>
    <row r="271" spans="2:18" ht="12" customHeight="1">
      <c r="B271" s="87" t="s">
        <v>317</v>
      </c>
      <c r="L271" s="222"/>
      <c r="M271" s="218"/>
      <c r="N271" s="218"/>
      <c r="O271" s="218"/>
    </row>
    <row r="272" spans="2:18" ht="12" customHeight="1">
      <c r="B272" s="87" t="s">
        <v>334</v>
      </c>
      <c r="C272" s="87"/>
      <c r="D272" s="225"/>
      <c r="E272" s="225"/>
      <c r="F272" s="225"/>
      <c r="G272" s="225"/>
      <c r="H272" s="225"/>
      <c r="I272" s="225"/>
      <c r="J272" s="225"/>
      <c r="K272" s="225"/>
      <c r="L272" s="226"/>
      <c r="M272" s="226"/>
      <c r="N272" s="226"/>
      <c r="O272" s="227"/>
      <c r="P272" s="87"/>
      <c r="Q272" s="87"/>
    </row>
    <row r="273" spans="2:18" ht="12" customHeight="1">
      <c r="B273" s="228" t="s">
        <v>318</v>
      </c>
      <c r="C273" s="87"/>
      <c r="D273" s="87"/>
      <c r="E273" s="87"/>
      <c r="F273" s="87"/>
      <c r="G273" s="87"/>
      <c r="H273" s="87"/>
      <c r="I273" s="87"/>
      <c r="J273" s="87"/>
      <c r="K273" s="87"/>
      <c r="L273" s="226"/>
      <c r="M273" s="226"/>
      <c r="N273" s="226"/>
      <c r="O273" s="227"/>
      <c r="P273" s="87"/>
      <c r="Q273" s="87"/>
    </row>
    <row r="274" spans="2:18" ht="12" customHeight="1">
      <c r="C274" s="229"/>
      <c r="D274" s="229"/>
      <c r="E274" s="229"/>
      <c r="F274" s="229"/>
      <c r="G274" s="229"/>
      <c r="H274" s="229"/>
      <c r="I274" s="229"/>
      <c r="J274" s="229"/>
      <c r="K274" s="229"/>
      <c r="L274" s="229"/>
      <c r="M274" s="229"/>
      <c r="N274" s="229"/>
      <c r="O274" s="229"/>
      <c r="P274" s="229"/>
      <c r="Q274" s="229"/>
    </row>
    <row r="275" spans="2:18" ht="12" customHeight="1">
      <c r="B275" s="229"/>
      <c r="C275" s="229"/>
      <c r="D275" s="229"/>
      <c r="E275" s="229"/>
      <c r="F275" s="229"/>
      <c r="G275" s="229"/>
      <c r="H275" s="229"/>
      <c r="I275" s="229"/>
      <c r="J275" s="229"/>
      <c r="K275" s="229"/>
      <c r="L275" s="229"/>
      <c r="M275" s="229"/>
      <c r="N275" s="229"/>
      <c r="O275" s="229"/>
      <c r="P275" s="229"/>
      <c r="Q275" s="229"/>
      <c r="R275" s="89" t="str">
        <f>'元データ表（DATA1）'!T210</f>
        <v>毎月1回更新、最優更新日2025/4/18</v>
      </c>
    </row>
    <row r="276" spans="2:18" ht="12" customHeight="1">
      <c r="G276" s="218"/>
      <c r="H276" s="218"/>
      <c r="I276" s="218"/>
      <c r="J276" s="218"/>
      <c r="K276" s="218"/>
    </row>
  </sheetData>
  <mergeCells count="28">
    <mergeCell ref="B269:E269"/>
    <mergeCell ref="O6:O9"/>
    <mergeCell ref="B264:E264"/>
    <mergeCell ref="B265:C268"/>
    <mergeCell ref="D265:E265"/>
    <mergeCell ref="D266:E266"/>
    <mergeCell ref="D267:E267"/>
    <mergeCell ref="D268:E268"/>
    <mergeCell ref="R5:R9"/>
    <mergeCell ref="D6:D9"/>
    <mergeCell ref="E6:E9"/>
    <mergeCell ref="F6:F9"/>
    <mergeCell ref="G6:G9"/>
    <mergeCell ref="H6:H9"/>
    <mergeCell ref="I6:I9"/>
    <mergeCell ref="J6:J9"/>
    <mergeCell ref="K6:K9"/>
    <mergeCell ref="L6:L9"/>
    <mergeCell ref="B2:Q2"/>
    <mergeCell ref="B5:C9"/>
    <mergeCell ref="D5:F5"/>
    <mergeCell ref="G5:I5"/>
    <mergeCell ref="J5:L5"/>
    <mergeCell ref="M5:O5"/>
    <mergeCell ref="P5:P9"/>
    <mergeCell ref="Q5:Q9"/>
    <mergeCell ref="M6:M9"/>
    <mergeCell ref="N6:N9"/>
  </mergeCells>
  <phoneticPr fontId="2"/>
  <pageMargins left="0.59055118110236227" right="0" top="0.59055118110236227" bottom="0" header="0.51181102362204722" footer="0.51181102362204722"/>
  <pageSetup paperSize="9" scale="71" orientation="landscape" horizontalDpi="4294967294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1:AL18"/>
  <sheetViews>
    <sheetView showGridLines="0" workbookViewId="0">
      <selection activeCell="K8" sqref="K8"/>
    </sheetView>
  </sheetViews>
  <sheetFormatPr defaultRowHeight="11.25"/>
  <cols>
    <col min="1" max="1" width="3.625" style="3" customWidth="1"/>
    <col min="2" max="4" width="9" style="3"/>
    <col min="5" max="5" width="11.375" style="3" customWidth="1"/>
    <col min="6" max="8" width="9" style="3"/>
    <col min="9" max="9" width="10.5" style="3" customWidth="1"/>
    <col min="10" max="10" width="9" style="3"/>
    <col min="11" max="11" width="9.25" style="3" customWidth="1"/>
    <col min="12" max="16384" width="9" style="3"/>
  </cols>
  <sheetData>
    <row r="1" spans="2:38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2:38">
      <c r="B2" s="10" t="s">
        <v>73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2:38">
      <c r="B3" s="10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2:38">
      <c r="B4" s="43" t="s">
        <v>7</v>
      </c>
      <c r="C4" s="44" t="s">
        <v>74</v>
      </c>
      <c r="D4" s="45" t="s">
        <v>75</v>
      </c>
      <c r="E4" s="45" t="s">
        <v>76</v>
      </c>
      <c r="F4" s="44" t="s">
        <v>77</v>
      </c>
      <c r="G4" s="44" t="s">
        <v>78</v>
      </c>
      <c r="H4" s="44" t="s">
        <v>79</v>
      </c>
      <c r="I4" s="44" t="s">
        <v>2</v>
      </c>
      <c r="J4" s="44" t="s">
        <v>3</v>
      </c>
      <c r="K4" s="45" t="s">
        <v>80</v>
      </c>
      <c r="L4" s="44" t="s">
        <v>81</v>
      </c>
      <c r="M4" s="44" t="s">
        <v>82</v>
      </c>
      <c r="N4" s="44" t="s">
        <v>83</v>
      </c>
      <c r="O4" s="44" t="s">
        <v>84</v>
      </c>
      <c r="P4" s="44" t="s">
        <v>85</v>
      </c>
      <c r="Q4" s="44" t="s">
        <v>4</v>
      </c>
      <c r="R4" s="44" t="s">
        <v>5</v>
      </c>
      <c r="S4" s="46" t="s">
        <v>6</v>
      </c>
    </row>
    <row r="5" spans="2:38" ht="36.75" customHeight="1">
      <c r="B5" s="47" t="s">
        <v>8</v>
      </c>
      <c r="C5" s="48" t="s">
        <v>31</v>
      </c>
      <c r="D5" s="49" t="s">
        <v>32</v>
      </c>
      <c r="E5" s="49" t="s">
        <v>33</v>
      </c>
      <c r="F5" s="50" t="s">
        <v>34</v>
      </c>
      <c r="G5" s="51" t="s">
        <v>35</v>
      </c>
      <c r="H5" s="51" t="s">
        <v>36</v>
      </c>
      <c r="I5" s="51" t="s">
        <v>37</v>
      </c>
      <c r="J5" s="51" t="s">
        <v>38</v>
      </c>
      <c r="K5" s="52" t="s">
        <v>55</v>
      </c>
      <c r="L5" s="50" t="s">
        <v>9</v>
      </c>
      <c r="M5" s="50" t="s">
        <v>10</v>
      </c>
      <c r="N5" s="51" t="s">
        <v>11</v>
      </c>
      <c r="O5" s="49" t="s">
        <v>12</v>
      </c>
      <c r="P5" s="49" t="s">
        <v>13</v>
      </c>
      <c r="Q5" s="49" t="s">
        <v>14</v>
      </c>
      <c r="R5" s="49" t="s">
        <v>15</v>
      </c>
      <c r="S5" s="53" t="s">
        <v>16</v>
      </c>
    </row>
    <row r="6" spans="2:38">
      <c r="B6" s="13"/>
      <c r="C6" s="1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2:38">
      <c r="B7" s="64"/>
      <c r="C7" s="64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</row>
    <row r="8" spans="2:38">
      <c r="B8" s="67" t="s">
        <v>1</v>
      </c>
      <c r="C8" s="68">
        <f>IF(TMP!C7="","",AVERAGE(TMP!C7:C106))</f>
        <v>97.100000000000009</v>
      </c>
      <c r="D8" s="68">
        <f>IF(TMP!D7="","",AVERAGE(TMP!D7:D106))</f>
        <v>113.32542981353866</v>
      </c>
      <c r="E8" s="68">
        <f>IF(TMP!E7="","",AVERAGE(TMP!E7:E106))</f>
        <v>100.00650790743326</v>
      </c>
      <c r="F8" s="68">
        <f>IF(TMP!F7="","",AVERAGE(TMP!F7:F106))</f>
        <v>97.024999999999991</v>
      </c>
      <c r="G8" s="68">
        <f>IF(TMP!G7="","",AVERAGE(TMP!G7:G106))</f>
        <v>104.4375</v>
      </c>
      <c r="H8" s="68">
        <f>IF(TMP!H7="","",AVERAGE(TMP!H7:H106))</f>
        <v>96.875</v>
      </c>
      <c r="I8" s="68">
        <f>IF(TMP!I7="","",AVERAGE(TMP!I7:I106))</f>
        <v>97.100000000000009</v>
      </c>
      <c r="J8" s="68">
        <f>IF(TMP!J7="","",AVERAGE(TMP!J7:J106))</f>
        <v>98.8125</v>
      </c>
      <c r="K8" s="68">
        <f>IF(TMP!K7="","",AVERAGE(TMP!K7:K106))</f>
        <v>110.59615695465934</v>
      </c>
      <c r="L8" s="68">
        <f>IF(TMP!L7="","",AVERAGE(TMP!L7:L106))</f>
        <v>95.537499999999994</v>
      </c>
      <c r="M8" s="68">
        <f>IF(TMP!M7="","",AVERAGE(TMP!M7:M106))</f>
        <v>97.812500000000014</v>
      </c>
      <c r="N8" s="68">
        <f>IF(TMP!N7="","",AVERAGE(TMP!N7:N106))</f>
        <v>101.91249999999999</v>
      </c>
      <c r="O8" s="68">
        <f>IF(TMP!O7="","",AVERAGE(TMP!O7:O106))</f>
        <v>99.912237782358687</v>
      </c>
      <c r="P8" s="68">
        <f>IF(TMP!P7="","",AVERAGE(TMP!P7:P106))</f>
        <v>98.732501893947855</v>
      </c>
      <c r="Q8" s="68">
        <f>IF(TMP!Q7="","",AVERAGE(TMP!Q7:Q106))</f>
        <v>175.77386126564673</v>
      </c>
      <c r="R8" s="68">
        <f>IF(TMP!R7="","",AVERAGE(TMP!R7:R106))</f>
        <v>99.256834805763248</v>
      </c>
      <c r="S8" s="68">
        <f>IF(TMP!S7="","",AVERAGE(TMP!S7:S106))</f>
        <v>88.889112903225808</v>
      </c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</row>
    <row r="9" spans="2:38"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</row>
    <row r="10" spans="2:38">
      <c r="B10" s="64" t="s">
        <v>121</v>
      </c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</row>
    <row r="11" spans="2:38">
      <c r="B11" s="70" t="s">
        <v>0</v>
      </c>
      <c r="C11" s="63" t="e">
        <f>AVERAGE('DATA-TMP'!B44:B55)</f>
        <v>#REF!</v>
      </c>
      <c r="D11" s="63" t="e">
        <f>AVERAGE('DATA-TMP'!C44:C55)</f>
        <v>#REF!</v>
      </c>
      <c r="E11" s="63" t="e">
        <f>AVERAGE('DATA-TMP'!D44:D55)</f>
        <v>#REF!</v>
      </c>
      <c r="F11" s="63" t="e">
        <f>AVERAGE('DATA-TMP'!E44:E55)</f>
        <v>#REF!</v>
      </c>
      <c r="G11" s="63" t="e">
        <f>AVERAGE('DATA-TMP'!F44:F55)</f>
        <v>#REF!</v>
      </c>
      <c r="H11" s="63" t="e">
        <f>AVERAGE('DATA-TMP'!G44:G55)</f>
        <v>#REF!</v>
      </c>
      <c r="I11" s="63" t="e">
        <f>AVERAGE('DATA-TMP'!H44:H55)</f>
        <v>#REF!</v>
      </c>
      <c r="J11" s="63" t="e">
        <f>AVERAGE('DATA-TMP'!I44:I55)</f>
        <v>#REF!</v>
      </c>
      <c r="K11" s="63" t="e">
        <f>AVERAGE('DATA-TMP'!J44:J55)</f>
        <v>#REF!</v>
      </c>
      <c r="L11" s="63" t="e">
        <f>AVERAGE('DATA-TMP'!K44:K55)</f>
        <v>#REF!</v>
      </c>
      <c r="M11" s="63" t="e">
        <f>AVERAGE('DATA-TMP'!L44:L55)</f>
        <v>#REF!</v>
      </c>
      <c r="N11" s="63" t="e">
        <f>AVERAGE('DATA-TMP'!M44:M55)</f>
        <v>#REF!</v>
      </c>
      <c r="O11" s="63" t="e">
        <f>AVERAGE('DATA-TMP'!N44:N55)</f>
        <v>#REF!</v>
      </c>
      <c r="P11" s="63" t="e">
        <f>AVERAGE('DATA-TMP'!O44:O55)</f>
        <v>#REF!</v>
      </c>
      <c r="Q11" s="63" t="e">
        <f>AVERAGE('DATA-TMP'!P44:P55)</f>
        <v>#REF!</v>
      </c>
      <c r="R11" s="63" t="e">
        <f>AVERAGE('DATA-TMP'!Q44:Q55)</f>
        <v>#REF!</v>
      </c>
      <c r="S11" s="63" t="e">
        <f>AVERAGE('DATA-TMP'!R44:R55)</f>
        <v>#REF!</v>
      </c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</row>
    <row r="12" spans="2:38"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</row>
    <row r="13" spans="2:38"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</row>
    <row r="14" spans="2:38"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</row>
    <row r="18" spans="5:5">
      <c r="E18" s="71"/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4</vt:i4>
      </vt:variant>
    </vt:vector>
  </HeadingPairs>
  <TitlesOfParts>
    <vt:vector size="14" baseType="lpstr">
      <vt:lpstr>TMP</vt:lpstr>
      <vt:lpstr>TMPki</vt:lpstr>
      <vt:lpstr>TMPki2</vt:lpstr>
      <vt:lpstr>元データ表（DATA1）</vt:lpstr>
      <vt:lpstr>元データ表(DATA2）</vt:lpstr>
      <vt:lpstr>元データ表（DATA3）</vt:lpstr>
      <vt:lpstr>元データ表(実勢価格)</vt:lpstr>
      <vt:lpstr>元データ表（積立金・補填金の差額）</vt:lpstr>
      <vt:lpstr>TMP2</vt:lpstr>
      <vt:lpstr>DATA-TMP</vt:lpstr>
      <vt:lpstr>'元データ表（DATA1）'!Print_Area</vt:lpstr>
      <vt:lpstr>'元データ表(DATA2）'!Print_Area</vt:lpstr>
      <vt:lpstr>'元データ表(実勢価格)'!Print_Area</vt:lpstr>
      <vt:lpstr>'元データ表（積立金・補填金の差額）'!Print_Area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md888</dc:creator>
  <cp:lastModifiedBy>Windows User</cp:lastModifiedBy>
  <cp:lastPrinted>2020-01-28T02:55:28Z</cp:lastPrinted>
  <dcterms:created xsi:type="dcterms:W3CDTF">1997-01-08T22:48:59Z</dcterms:created>
  <dcterms:modified xsi:type="dcterms:W3CDTF">2025-04-18T01:53:24Z</dcterms:modified>
</cp:coreProperties>
</file>